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HANH\Downloads\"/>
    </mc:Choice>
  </mc:AlternateContent>
  <bookViews>
    <workbookView xWindow="0" yWindow="0" windowWidth="15735" windowHeight="9660"/>
  </bookViews>
  <sheets>
    <sheet name="Notifications" sheetId="1" r:id="rId1"/>
  </sheets>
  <calcPr calcId="152511"/>
</workbook>
</file>

<file path=xl/calcChain.xml><?xml version="1.0" encoding="utf-8"?>
<calcChain xmlns="http://schemas.openxmlformats.org/spreadsheetml/2006/main">
  <c r="T1458" i="1" l="1"/>
  <c r="S1458" i="1"/>
  <c r="R1458" i="1"/>
  <c r="C1458" i="1"/>
  <c r="T1457" i="1"/>
  <c r="S1457" i="1"/>
  <c r="R1457" i="1"/>
  <c r="C1457" i="1"/>
  <c r="T1456" i="1"/>
  <c r="S1456" i="1"/>
  <c r="R1456" i="1"/>
  <c r="C1456" i="1"/>
  <c r="T1455" i="1"/>
  <c r="S1455" i="1"/>
  <c r="R1455" i="1"/>
  <c r="C1455" i="1"/>
  <c r="T1454" i="1"/>
  <c r="S1454" i="1"/>
  <c r="R1454" i="1"/>
  <c r="C1454" i="1"/>
  <c r="T1453" i="1"/>
  <c r="S1453" i="1"/>
  <c r="R1453" i="1"/>
  <c r="C1453" i="1"/>
  <c r="T1452" i="1"/>
  <c r="S1452" i="1"/>
  <c r="R1452" i="1"/>
  <c r="C1452" i="1"/>
  <c r="T1451" i="1"/>
  <c r="S1451" i="1"/>
  <c r="R1451" i="1"/>
  <c r="C1451" i="1"/>
  <c r="T1450" i="1"/>
  <c r="S1450" i="1"/>
  <c r="R1450" i="1"/>
  <c r="C1450" i="1"/>
  <c r="T1449" i="1"/>
  <c r="S1449" i="1"/>
  <c r="R1449" i="1"/>
  <c r="C1449" i="1"/>
  <c r="T1448" i="1"/>
  <c r="S1448" i="1"/>
  <c r="R1448" i="1"/>
  <c r="C1448" i="1"/>
  <c r="T1447" i="1"/>
  <c r="S1447" i="1"/>
  <c r="R1447" i="1"/>
  <c r="C1447" i="1"/>
  <c r="T1446" i="1"/>
  <c r="S1446" i="1"/>
  <c r="R1446" i="1"/>
  <c r="C1446" i="1"/>
  <c r="T1445" i="1"/>
  <c r="S1445" i="1"/>
  <c r="R1445" i="1"/>
  <c r="C1445" i="1"/>
  <c r="T1444" i="1"/>
  <c r="S1444" i="1"/>
  <c r="R1444" i="1"/>
  <c r="C1444" i="1"/>
  <c r="T1443" i="1"/>
  <c r="S1443" i="1"/>
  <c r="R1443" i="1"/>
  <c r="C1443" i="1"/>
  <c r="T1442" i="1"/>
  <c r="S1442" i="1"/>
  <c r="R1442" i="1"/>
  <c r="C1442" i="1"/>
  <c r="T1441" i="1"/>
  <c r="S1441" i="1"/>
  <c r="R1441" i="1"/>
  <c r="C1441" i="1"/>
  <c r="T1440" i="1"/>
  <c r="S1440" i="1"/>
  <c r="R1440" i="1"/>
  <c r="C1440" i="1"/>
  <c r="T1439" i="1"/>
  <c r="S1439" i="1"/>
  <c r="R1439" i="1"/>
  <c r="C1439" i="1"/>
  <c r="T1438" i="1"/>
  <c r="S1438" i="1"/>
  <c r="R1438" i="1"/>
  <c r="C1438" i="1"/>
  <c r="T1437" i="1"/>
  <c r="S1437" i="1"/>
  <c r="R1437" i="1"/>
  <c r="C1437" i="1"/>
  <c r="T1436" i="1"/>
  <c r="S1436" i="1"/>
  <c r="R1436" i="1"/>
  <c r="C1436" i="1"/>
  <c r="T1435" i="1"/>
  <c r="S1435" i="1"/>
  <c r="R1435" i="1"/>
  <c r="C1435" i="1"/>
  <c r="T1434" i="1"/>
  <c r="S1434" i="1"/>
  <c r="R1434" i="1"/>
  <c r="C1434" i="1"/>
  <c r="T1433" i="1"/>
  <c r="S1433" i="1"/>
  <c r="R1433" i="1"/>
  <c r="C1433" i="1"/>
  <c r="T1432" i="1"/>
  <c r="S1432" i="1"/>
  <c r="R1432" i="1"/>
  <c r="C1432" i="1"/>
  <c r="T1431" i="1"/>
  <c r="S1431" i="1"/>
  <c r="R1431" i="1"/>
  <c r="C1431" i="1"/>
  <c r="T1430" i="1"/>
  <c r="S1430" i="1"/>
  <c r="R1430" i="1"/>
  <c r="C1430" i="1"/>
  <c r="T1429" i="1"/>
  <c r="S1429" i="1"/>
  <c r="R1429" i="1"/>
  <c r="C1429" i="1"/>
  <c r="T1428" i="1"/>
  <c r="S1428" i="1"/>
  <c r="R1428" i="1"/>
  <c r="C1428" i="1"/>
  <c r="T1427" i="1"/>
  <c r="S1427" i="1"/>
  <c r="R1427" i="1"/>
  <c r="C1427" i="1"/>
  <c r="T1426" i="1"/>
  <c r="S1426" i="1"/>
  <c r="R1426" i="1"/>
  <c r="C1426" i="1"/>
  <c r="T1425" i="1"/>
  <c r="S1425" i="1"/>
  <c r="R1425" i="1"/>
  <c r="C1425" i="1"/>
  <c r="T1424" i="1"/>
  <c r="S1424" i="1"/>
  <c r="R1424" i="1"/>
  <c r="C1424" i="1"/>
  <c r="T1423" i="1"/>
  <c r="S1423" i="1"/>
  <c r="R1423" i="1"/>
  <c r="C1423" i="1"/>
  <c r="T1422" i="1"/>
  <c r="S1422" i="1"/>
  <c r="R1422" i="1"/>
  <c r="C1422" i="1"/>
  <c r="T1421" i="1"/>
  <c r="S1421" i="1"/>
  <c r="R1421" i="1"/>
  <c r="C1421" i="1"/>
  <c r="T1420" i="1"/>
  <c r="S1420" i="1"/>
  <c r="R1420" i="1"/>
  <c r="C1420" i="1"/>
  <c r="T1419" i="1"/>
  <c r="S1419" i="1"/>
  <c r="R1419" i="1"/>
  <c r="C1419" i="1"/>
  <c r="T1418" i="1"/>
  <c r="S1418" i="1"/>
  <c r="R1418" i="1"/>
  <c r="C1418" i="1"/>
  <c r="T1417" i="1"/>
  <c r="S1417" i="1"/>
  <c r="R1417" i="1"/>
  <c r="C1417" i="1"/>
  <c r="T1416" i="1"/>
  <c r="S1416" i="1"/>
  <c r="R1416" i="1"/>
  <c r="C1416" i="1"/>
  <c r="T1415" i="1"/>
  <c r="S1415" i="1"/>
  <c r="R1415" i="1"/>
  <c r="C1415" i="1"/>
  <c r="T1414" i="1"/>
  <c r="S1414" i="1"/>
  <c r="R1414" i="1"/>
  <c r="C1414" i="1"/>
  <c r="T1413" i="1"/>
  <c r="S1413" i="1"/>
  <c r="R1413" i="1"/>
  <c r="C1413" i="1"/>
  <c r="T1412" i="1"/>
  <c r="S1412" i="1"/>
  <c r="R1412" i="1"/>
  <c r="C1412" i="1"/>
  <c r="T1411" i="1"/>
  <c r="S1411" i="1"/>
  <c r="R1411" i="1"/>
  <c r="C1411" i="1"/>
  <c r="T1410" i="1"/>
  <c r="S1410" i="1"/>
  <c r="R1410" i="1"/>
  <c r="C1410" i="1"/>
  <c r="T1409" i="1"/>
  <c r="S1409" i="1"/>
  <c r="R1409" i="1"/>
  <c r="C1409" i="1"/>
  <c r="T1408" i="1"/>
  <c r="S1408" i="1"/>
  <c r="R1408" i="1"/>
  <c r="C1408" i="1"/>
  <c r="T1407" i="1"/>
  <c r="S1407" i="1"/>
  <c r="R1407" i="1"/>
  <c r="C1407" i="1"/>
  <c r="T1406" i="1"/>
  <c r="S1406" i="1"/>
  <c r="R1406" i="1"/>
  <c r="C1406" i="1"/>
  <c r="T1405" i="1"/>
  <c r="S1405" i="1"/>
  <c r="R1405" i="1"/>
  <c r="C1405" i="1"/>
  <c r="T1404" i="1"/>
  <c r="S1404" i="1"/>
  <c r="R1404" i="1"/>
  <c r="C1404" i="1"/>
  <c r="T1403" i="1"/>
  <c r="S1403" i="1"/>
  <c r="R1403" i="1"/>
  <c r="C1403" i="1"/>
  <c r="T1402" i="1"/>
  <c r="S1402" i="1"/>
  <c r="R1402" i="1"/>
  <c r="C1402" i="1"/>
  <c r="T1401" i="1"/>
  <c r="S1401" i="1"/>
  <c r="R1401" i="1"/>
  <c r="C1401" i="1"/>
  <c r="T1400" i="1"/>
  <c r="S1400" i="1"/>
  <c r="R1400" i="1"/>
  <c r="C1400" i="1"/>
  <c r="T1399" i="1"/>
  <c r="S1399" i="1"/>
  <c r="R1399" i="1"/>
  <c r="C1399" i="1"/>
  <c r="T1398" i="1"/>
  <c r="S1398" i="1"/>
  <c r="R1398" i="1"/>
  <c r="C1398" i="1"/>
  <c r="T1397" i="1"/>
  <c r="S1397" i="1"/>
  <c r="R1397" i="1"/>
  <c r="C1397" i="1"/>
  <c r="T1396" i="1"/>
  <c r="S1396" i="1"/>
  <c r="R1396" i="1"/>
  <c r="C1396" i="1"/>
  <c r="T1395" i="1"/>
  <c r="S1395" i="1"/>
  <c r="R1395" i="1"/>
  <c r="C1395" i="1"/>
  <c r="T1394" i="1"/>
  <c r="S1394" i="1"/>
  <c r="R1394" i="1"/>
  <c r="C1394" i="1"/>
  <c r="T1393" i="1"/>
  <c r="S1393" i="1"/>
  <c r="R1393" i="1"/>
  <c r="C1393" i="1"/>
  <c r="T1392" i="1"/>
  <c r="S1392" i="1"/>
  <c r="R1392" i="1"/>
  <c r="C1392" i="1"/>
  <c r="T1391" i="1"/>
  <c r="S1391" i="1"/>
  <c r="R1391" i="1"/>
  <c r="C1391" i="1"/>
  <c r="T1390" i="1"/>
  <c r="S1390" i="1"/>
  <c r="R1390" i="1"/>
  <c r="C1390" i="1"/>
  <c r="T1389" i="1"/>
  <c r="S1389" i="1"/>
  <c r="R1389" i="1"/>
  <c r="C1389" i="1"/>
  <c r="T1388" i="1"/>
  <c r="S1388" i="1"/>
  <c r="R1388" i="1"/>
  <c r="C1388" i="1"/>
  <c r="T1387" i="1"/>
  <c r="S1387" i="1"/>
  <c r="R1387" i="1"/>
  <c r="C1387" i="1"/>
  <c r="T1386" i="1"/>
  <c r="S1386" i="1"/>
  <c r="R1386" i="1"/>
  <c r="C1386" i="1"/>
  <c r="T1385" i="1"/>
  <c r="S1385" i="1"/>
  <c r="R1385" i="1"/>
  <c r="C1385" i="1"/>
  <c r="T1384" i="1"/>
  <c r="S1384" i="1"/>
  <c r="R1384" i="1"/>
  <c r="C1384" i="1"/>
  <c r="T1383" i="1"/>
  <c r="S1383" i="1"/>
  <c r="R1383" i="1"/>
  <c r="C1383" i="1"/>
  <c r="T1382" i="1"/>
  <c r="S1382" i="1"/>
  <c r="R1382" i="1"/>
  <c r="C1382" i="1"/>
  <c r="T1381" i="1"/>
  <c r="S1381" i="1"/>
  <c r="R1381" i="1"/>
  <c r="C1381" i="1"/>
  <c r="T1380" i="1"/>
  <c r="S1380" i="1"/>
  <c r="R1380" i="1"/>
  <c r="C1380" i="1"/>
  <c r="T1379" i="1"/>
  <c r="S1379" i="1"/>
  <c r="R1379" i="1"/>
  <c r="C1379" i="1"/>
  <c r="T1378" i="1"/>
  <c r="S1378" i="1"/>
  <c r="R1378" i="1"/>
  <c r="C1378" i="1"/>
  <c r="T1377" i="1"/>
  <c r="S1377" i="1"/>
  <c r="R1377" i="1"/>
  <c r="C1377" i="1"/>
  <c r="T1376" i="1"/>
  <c r="S1376" i="1"/>
  <c r="R1376" i="1"/>
  <c r="C1376" i="1"/>
  <c r="T1375" i="1"/>
  <c r="S1375" i="1"/>
  <c r="R1375" i="1"/>
  <c r="C1375" i="1"/>
  <c r="T1374" i="1"/>
  <c r="S1374" i="1"/>
  <c r="R1374" i="1"/>
  <c r="C1374" i="1"/>
  <c r="T1373" i="1"/>
  <c r="S1373" i="1"/>
  <c r="R1373" i="1"/>
  <c r="C1373" i="1"/>
  <c r="T1372" i="1"/>
  <c r="S1372" i="1"/>
  <c r="R1372" i="1"/>
  <c r="C1372" i="1"/>
  <c r="T1371" i="1"/>
  <c r="S1371" i="1"/>
  <c r="R1371" i="1"/>
  <c r="C1371" i="1"/>
  <c r="T1370" i="1"/>
  <c r="S1370" i="1"/>
  <c r="R1370" i="1"/>
  <c r="C1370" i="1"/>
  <c r="T1369" i="1"/>
  <c r="S1369" i="1"/>
  <c r="R1369" i="1"/>
  <c r="C1369" i="1"/>
  <c r="T1368" i="1"/>
  <c r="S1368" i="1"/>
  <c r="R1368" i="1"/>
  <c r="C1368" i="1"/>
  <c r="T1367" i="1"/>
  <c r="S1367" i="1"/>
  <c r="R1367" i="1"/>
  <c r="C1367" i="1"/>
  <c r="T1366" i="1"/>
  <c r="S1366" i="1"/>
  <c r="R1366" i="1"/>
  <c r="C1366" i="1"/>
  <c r="T1365" i="1"/>
  <c r="S1365" i="1"/>
  <c r="R1365" i="1"/>
  <c r="C1365" i="1"/>
  <c r="T1364" i="1"/>
  <c r="S1364" i="1"/>
  <c r="R1364" i="1"/>
  <c r="C1364" i="1"/>
  <c r="T1363" i="1"/>
  <c r="S1363" i="1"/>
  <c r="R1363" i="1"/>
  <c r="C1363" i="1"/>
  <c r="T1362" i="1"/>
  <c r="S1362" i="1"/>
  <c r="R1362" i="1"/>
  <c r="C1362" i="1"/>
  <c r="T1361" i="1"/>
  <c r="S1361" i="1"/>
  <c r="R1361" i="1"/>
  <c r="C1361" i="1"/>
  <c r="T1360" i="1"/>
  <c r="S1360" i="1"/>
  <c r="R1360" i="1"/>
  <c r="C1360" i="1"/>
  <c r="T1359" i="1"/>
  <c r="S1359" i="1"/>
  <c r="R1359" i="1"/>
  <c r="C1359" i="1"/>
  <c r="T1358" i="1"/>
  <c r="S1358" i="1"/>
  <c r="R1358" i="1"/>
  <c r="C1358" i="1"/>
  <c r="T1357" i="1"/>
  <c r="S1357" i="1"/>
  <c r="R1357" i="1"/>
  <c r="C1357" i="1"/>
  <c r="T1356" i="1"/>
  <c r="S1356" i="1"/>
  <c r="R1356" i="1"/>
  <c r="C1356" i="1"/>
  <c r="T1355" i="1"/>
  <c r="S1355" i="1"/>
  <c r="R1355" i="1"/>
  <c r="C1355" i="1"/>
  <c r="T1354" i="1"/>
  <c r="S1354" i="1"/>
  <c r="R1354" i="1"/>
  <c r="C1354" i="1"/>
  <c r="T1353" i="1"/>
  <c r="S1353" i="1"/>
  <c r="R1353" i="1"/>
  <c r="C1353" i="1"/>
  <c r="T1352" i="1"/>
  <c r="S1352" i="1"/>
  <c r="R1352" i="1"/>
  <c r="C1352" i="1"/>
  <c r="T1351" i="1"/>
  <c r="S1351" i="1"/>
  <c r="R1351" i="1"/>
  <c r="C1351" i="1"/>
  <c r="T1350" i="1"/>
  <c r="S1350" i="1"/>
  <c r="R1350" i="1"/>
  <c r="C1350" i="1"/>
  <c r="T1349" i="1"/>
  <c r="S1349" i="1"/>
  <c r="R1349" i="1"/>
  <c r="C1349" i="1"/>
  <c r="T1348" i="1"/>
  <c r="S1348" i="1"/>
  <c r="R1348" i="1"/>
  <c r="C1348" i="1"/>
  <c r="T1347" i="1"/>
  <c r="S1347" i="1"/>
  <c r="R1347" i="1"/>
  <c r="C1347" i="1"/>
  <c r="T1346" i="1"/>
  <c r="S1346" i="1"/>
  <c r="R1346" i="1"/>
  <c r="C1346" i="1"/>
  <c r="T1345" i="1"/>
  <c r="S1345" i="1"/>
  <c r="R1345" i="1"/>
  <c r="C1345" i="1"/>
  <c r="T1344" i="1"/>
  <c r="S1344" i="1"/>
  <c r="R1344" i="1"/>
  <c r="C1344" i="1"/>
  <c r="T1343" i="1"/>
  <c r="S1343" i="1"/>
  <c r="R1343" i="1"/>
  <c r="C1343" i="1"/>
  <c r="T1342" i="1"/>
  <c r="S1342" i="1"/>
  <c r="R1342" i="1"/>
  <c r="C1342" i="1"/>
  <c r="T1341" i="1"/>
  <c r="S1341" i="1"/>
  <c r="R1341" i="1"/>
  <c r="C1341" i="1"/>
  <c r="T1340" i="1"/>
  <c r="S1340" i="1"/>
  <c r="R1340" i="1"/>
  <c r="C1340" i="1"/>
  <c r="T1339" i="1"/>
  <c r="S1339" i="1"/>
  <c r="R1339" i="1"/>
  <c r="C1339" i="1"/>
  <c r="T1338" i="1"/>
  <c r="S1338" i="1"/>
  <c r="R1338" i="1"/>
  <c r="C1338" i="1"/>
  <c r="T1337" i="1"/>
  <c r="S1337" i="1"/>
  <c r="R1337" i="1"/>
  <c r="C1337" i="1"/>
  <c r="T1336" i="1"/>
  <c r="S1336" i="1"/>
  <c r="R1336" i="1"/>
  <c r="C1336" i="1"/>
  <c r="T1335" i="1"/>
  <c r="S1335" i="1"/>
  <c r="R1335" i="1"/>
  <c r="C1335" i="1"/>
  <c r="T1334" i="1"/>
  <c r="S1334" i="1"/>
  <c r="R1334" i="1"/>
  <c r="C1334" i="1"/>
  <c r="T1333" i="1"/>
  <c r="S1333" i="1"/>
  <c r="R1333" i="1"/>
  <c r="C1333" i="1"/>
  <c r="T1332" i="1"/>
  <c r="S1332" i="1"/>
  <c r="R1332" i="1"/>
  <c r="C1332" i="1"/>
  <c r="T1331" i="1"/>
  <c r="S1331" i="1"/>
  <c r="R1331" i="1"/>
  <c r="C1331" i="1"/>
  <c r="T1330" i="1"/>
  <c r="S1330" i="1"/>
  <c r="R1330" i="1"/>
  <c r="C1330" i="1"/>
  <c r="T1329" i="1"/>
  <c r="S1329" i="1"/>
  <c r="R1329" i="1"/>
  <c r="C1329" i="1"/>
  <c r="T1328" i="1"/>
  <c r="S1328" i="1"/>
  <c r="R1328" i="1"/>
  <c r="C1328" i="1"/>
  <c r="T1327" i="1"/>
  <c r="S1327" i="1"/>
  <c r="R1327" i="1"/>
  <c r="C1327" i="1"/>
  <c r="T1326" i="1"/>
  <c r="S1326" i="1"/>
  <c r="R1326" i="1"/>
  <c r="C1326" i="1"/>
  <c r="T1325" i="1"/>
  <c r="S1325" i="1"/>
  <c r="R1325" i="1"/>
  <c r="C1325" i="1"/>
  <c r="T1324" i="1"/>
  <c r="S1324" i="1"/>
  <c r="R1324" i="1"/>
  <c r="C1324" i="1"/>
  <c r="T1323" i="1"/>
  <c r="S1323" i="1"/>
  <c r="R1323" i="1"/>
  <c r="C1323" i="1"/>
  <c r="T1322" i="1"/>
  <c r="S1322" i="1"/>
  <c r="R1322" i="1"/>
  <c r="C1322" i="1"/>
  <c r="T1321" i="1"/>
  <c r="S1321" i="1"/>
  <c r="R1321" i="1"/>
  <c r="C1321" i="1"/>
  <c r="T1320" i="1"/>
  <c r="S1320" i="1"/>
  <c r="R1320" i="1"/>
  <c r="C1320" i="1"/>
  <c r="T1319" i="1"/>
  <c r="S1319" i="1"/>
  <c r="R1319" i="1"/>
  <c r="C1319" i="1"/>
  <c r="T1318" i="1"/>
  <c r="S1318" i="1"/>
  <c r="R1318" i="1"/>
  <c r="C1318" i="1"/>
  <c r="T1317" i="1"/>
  <c r="S1317" i="1"/>
  <c r="R1317" i="1"/>
  <c r="C1317" i="1"/>
  <c r="T1316" i="1"/>
  <c r="S1316" i="1"/>
  <c r="R1316" i="1"/>
  <c r="C1316" i="1"/>
  <c r="T1315" i="1"/>
  <c r="S1315" i="1"/>
  <c r="R1315" i="1"/>
  <c r="C1315" i="1"/>
  <c r="T1314" i="1"/>
  <c r="S1314" i="1"/>
  <c r="R1314" i="1"/>
  <c r="C1314" i="1"/>
  <c r="T1313" i="1"/>
  <c r="S1313" i="1"/>
  <c r="R1313" i="1"/>
  <c r="C1313" i="1"/>
  <c r="T1312" i="1"/>
  <c r="S1312" i="1"/>
  <c r="R1312" i="1"/>
  <c r="C1312" i="1"/>
  <c r="T1311" i="1"/>
  <c r="S1311" i="1"/>
  <c r="R1311" i="1"/>
  <c r="C1311" i="1"/>
  <c r="T1310" i="1"/>
  <c r="S1310" i="1"/>
  <c r="R1310" i="1"/>
  <c r="C1310" i="1"/>
  <c r="T1309" i="1"/>
  <c r="S1309" i="1"/>
  <c r="R1309" i="1"/>
  <c r="C1309" i="1"/>
  <c r="T1308" i="1"/>
  <c r="S1308" i="1"/>
  <c r="R1308" i="1"/>
  <c r="C1308" i="1"/>
  <c r="T1307" i="1"/>
  <c r="S1307" i="1"/>
  <c r="R1307" i="1"/>
  <c r="C1307" i="1"/>
  <c r="T1306" i="1"/>
  <c r="S1306" i="1"/>
  <c r="R1306" i="1"/>
  <c r="C1306" i="1"/>
  <c r="T1305" i="1"/>
  <c r="S1305" i="1"/>
  <c r="R1305" i="1"/>
  <c r="C1305" i="1"/>
  <c r="T1304" i="1"/>
  <c r="S1304" i="1"/>
  <c r="R1304" i="1"/>
  <c r="C1304" i="1"/>
  <c r="T1303" i="1"/>
  <c r="S1303" i="1"/>
  <c r="R1303" i="1"/>
  <c r="C1303" i="1"/>
  <c r="T1302" i="1"/>
  <c r="S1302" i="1"/>
  <c r="R1302" i="1"/>
  <c r="C1302" i="1"/>
  <c r="T1301" i="1"/>
  <c r="S1301" i="1"/>
  <c r="R1301" i="1"/>
  <c r="C1301" i="1"/>
  <c r="T1300" i="1"/>
  <c r="S1300" i="1"/>
  <c r="R1300" i="1"/>
  <c r="C1300" i="1"/>
  <c r="T1299" i="1"/>
  <c r="S1299" i="1"/>
  <c r="R1299" i="1"/>
  <c r="C1299" i="1"/>
  <c r="T1298" i="1"/>
  <c r="S1298" i="1"/>
  <c r="R1298" i="1"/>
  <c r="C1298" i="1"/>
  <c r="T1297" i="1"/>
  <c r="S1297" i="1"/>
  <c r="R1297" i="1"/>
  <c r="C1297" i="1"/>
  <c r="T1296" i="1"/>
  <c r="S1296" i="1"/>
  <c r="R1296" i="1"/>
  <c r="C1296" i="1"/>
  <c r="T1295" i="1"/>
  <c r="S1295" i="1"/>
  <c r="R1295" i="1"/>
  <c r="C1295" i="1"/>
  <c r="T1294" i="1"/>
  <c r="S1294" i="1"/>
  <c r="R1294" i="1"/>
  <c r="C1294" i="1"/>
  <c r="T1293" i="1"/>
  <c r="S1293" i="1"/>
  <c r="R1293" i="1"/>
  <c r="C1293" i="1"/>
  <c r="T1292" i="1"/>
  <c r="S1292" i="1"/>
  <c r="R1292" i="1"/>
  <c r="C1292" i="1"/>
  <c r="T1291" i="1"/>
  <c r="S1291" i="1"/>
  <c r="R1291" i="1"/>
  <c r="C1291" i="1"/>
  <c r="T1290" i="1"/>
  <c r="S1290" i="1"/>
  <c r="R1290" i="1"/>
  <c r="C1290" i="1"/>
  <c r="T1289" i="1"/>
  <c r="S1289" i="1"/>
  <c r="R1289" i="1"/>
  <c r="C1289" i="1"/>
  <c r="T1288" i="1"/>
  <c r="S1288" i="1"/>
  <c r="R1288" i="1"/>
  <c r="C1288" i="1"/>
  <c r="T1287" i="1"/>
  <c r="S1287" i="1"/>
  <c r="R1287" i="1"/>
  <c r="C1287" i="1"/>
  <c r="T1286" i="1"/>
  <c r="S1286" i="1"/>
  <c r="R1286" i="1"/>
  <c r="C1286" i="1"/>
  <c r="T1285" i="1"/>
  <c r="S1285" i="1"/>
  <c r="R1285" i="1"/>
  <c r="C1285" i="1"/>
  <c r="T1284" i="1"/>
  <c r="S1284" i="1"/>
  <c r="R1284" i="1"/>
  <c r="C1284" i="1"/>
  <c r="T1283" i="1"/>
  <c r="S1283" i="1"/>
  <c r="R1283" i="1"/>
  <c r="C1283" i="1"/>
  <c r="T1282" i="1"/>
  <c r="S1282" i="1"/>
  <c r="R1282" i="1"/>
  <c r="C1282" i="1"/>
  <c r="T1281" i="1"/>
  <c r="S1281" i="1"/>
  <c r="R1281" i="1"/>
  <c r="C1281" i="1"/>
  <c r="T1280" i="1"/>
  <c r="S1280" i="1"/>
  <c r="R1280" i="1"/>
  <c r="C1280" i="1"/>
  <c r="T1279" i="1"/>
  <c r="S1279" i="1"/>
  <c r="R1279" i="1"/>
  <c r="C1279" i="1"/>
  <c r="T1278" i="1"/>
  <c r="S1278" i="1"/>
  <c r="R1278" i="1"/>
  <c r="C1278" i="1"/>
  <c r="T1277" i="1"/>
  <c r="S1277" i="1"/>
  <c r="R1277" i="1"/>
  <c r="C1277" i="1"/>
  <c r="T1276" i="1"/>
  <c r="S1276" i="1"/>
  <c r="R1276" i="1"/>
  <c r="C1276" i="1"/>
  <c r="T1275" i="1"/>
  <c r="S1275" i="1"/>
  <c r="R1275" i="1"/>
  <c r="C1275" i="1"/>
  <c r="T1274" i="1"/>
  <c r="S1274" i="1"/>
  <c r="R1274" i="1"/>
  <c r="C1274" i="1"/>
  <c r="T1273" i="1"/>
  <c r="S1273" i="1"/>
  <c r="R1273" i="1"/>
  <c r="C1273" i="1"/>
  <c r="T1272" i="1"/>
  <c r="S1272" i="1"/>
  <c r="R1272" i="1"/>
  <c r="C1272" i="1"/>
  <c r="T1271" i="1"/>
  <c r="S1271" i="1"/>
  <c r="R1271" i="1"/>
  <c r="C1271" i="1"/>
  <c r="T1270" i="1"/>
  <c r="S1270" i="1"/>
  <c r="R1270" i="1"/>
  <c r="C1270" i="1"/>
  <c r="T1269" i="1"/>
  <c r="S1269" i="1"/>
  <c r="R1269" i="1"/>
  <c r="C1269" i="1"/>
  <c r="T1268" i="1"/>
  <c r="S1268" i="1"/>
  <c r="R1268" i="1"/>
  <c r="C1268" i="1"/>
  <c r="T1267" i="1"/>
  <c r="S1267" i="1"/>
  <c r="R1267" i="1"/>
  <c r="C1267" i="1"/>
  <c r="T1266" i="1"/>
  <c r="S1266" i="1"/>
  <c r="R1266" i="1"/>
  <c r="C1266" i="1"/>
  <c r="T1265" i="1"/>
  <c r="S1265" i="1"/>
  <c r="R1265" i="1"/>
  <c r="C1265" i="1"/>
  <c r="T1264" i="1"/>
  <c r="S1264" i="1"/>
  <c r="R1264" i="1"/>
  <c r="C1264" i="1"/>
  <c r="T1263" i="1"/>
  <c r="S1263" i="1"/>
  <c r="R1263" i="1"/>
  <c r="C1263" i="1"/>
  <c r="T1262" i="1"/>
  <c r="S1262" i="1"/>
  <c r="R1262" i="1"/>
  <c r="C1262" i="1"/>
  <c r="T1261" i="1"/>
  <c r="S1261" i="1"/>
  <c r="R1261" i="1"/>
  <c r="C1261" i="1"/>
  <c r="T1260" i="1"/>
  <c r="S1260" i="1"/>
  <c r="R1260" i="1"/>
  <c r="C1260" i="1"/>
  <c r="T1259" i="1"/>
  <c r="S1259" i="1"/>
  <c r="R1259" i="1"/>
  <c r="C1259" i="1"/>
  <c r="T1258" i="1"/>
  <c r="S1258" i="1"/>
  <c r="R1258" i="1"/>
  <c r="C1258" i="1"/>
  <c r="T1257" i="1"/>
  <c r="S1257" i="1"/>
  <c r="R1257" i="1"/>
  <c r="C1257" i="1"/>
  <c r="T1256" i="1"/>
  <c r="S1256" i="1"/>
  <c r="R1256" i="1"/>
  <c r="C1256" i="1"/>
  <c r="T1255" i="1"/>
  <c r="S1255" i="1"/>
  <c r="R1255" i="1"/>
  <c r="C1255" i="1"/>
  <c r="T1254" i="1"/>
  <c r="S1254" i="1"/>
  <c r="R1254" i="1"/>
  <c r="C1254" i="1"/>
  <c r="T1253" i="1"/>
  <c r="S1253" i="1"/>
  <c r="R1253" i="1"/>
  <c r="C1253" i="1"/>
  <c r="T1252" i="1"/>
  <c r="S1252" i="1"/>
  <c r="R1252" i="1"/>
  <c r="C1252" i="1"/>
  <c r="T1251" i="1"/>
  <c r="S1251" i="1"/>
  <c r="R1251" i="1"/>
  <c r="C1251" i="1"/>
  <c r="T1250" i="1"/>
  <c r="S1250" i="1"/>
  <c r="R1250" i="1"/>
  <c r="C1250" i="1"/>
  <c r="T1249" i="1"/>
  <c r="S1249" i="1"/>
  <c r="R1249" i="1"/>
  <c r="C1249" i="1"/>
  <c r="T1248" i="1"/>
  <c r="S1248" i="1"/>
  <c r="R1248" i="1"/>
  <c r="C1248" i="1"/>
  <c r="T1247" i="1"/>
  <c r="S1247" i="1"/>
  <c r="R1247" i="1"/>
  <c r="C1247" i="1"/>
  <c r="T1246" i="1"/>
  <c r="S1246" i="1"/>
  <c r="R1246" i="1"/>
  <c r="C1246" i="1"/>
  <c r="T1245" i="1"/>
  <c r="S1245" i="1"/>
  <c r="R1245" i="1"/>
  <c r="C1245" i="1"/>
  <c r="T1244" i="1"/>
  <c r="S1244" i="1"/>
  <c r="R1244" i="1"/>
  <c r="C1244" i="1"/>
  <c r="T1243" i="1"/>
  <c r="S1243" i="1"/>
  <c r="R1243" i="1"/>
  <c r="C1243" i="1"/>
  <c r="T1242" i="1"/>
  <c r="S1242" i="1"/>
  <c r="R1242" i="1"/>
  <c r="C1242" i="1"/>
  <c r="T1241" i="1"/>
  <c r="S1241" i="1"/>
  <c r="R1241" i="1"/>
  <c r="C1241" i="1"/>
  <c r="T1240" i="1"/>
  <c r="S1240" i="1"/>
  <c r="R1240" i="1"/>
  <c r="C1240" i="1"/>
  <c r="T1239" i="1"/>
  <c r="S1239" i="1"/>
  <c r="R1239" i="1"/>
  <c r="C1239" i="1"/>
  <c r="T1238" i="1"/>
  <c r="S1238" i="1"/>
  <c r="R1238" i="1"/>
  <c r="C1238" i="1"/>
  <c r="T1237" i="1"/>
  <c r="S1237" i="1"/>
  <c r="R1237" i="1"/>
  <c r="C1237" i="1"/>
  <c r="T1236" i="1"/>
  <c r="S1236" i="1"/>
  <c r="R1236" i="1"/>
  <c r="C1236" i="1"/>
  <c r="T1235" i="1"/>
  <c r="S1235" i="1"/>
  <c r="R1235" i="1"/>
  <c r="C1235" i="1"/>
  <c r="T1234" i="1"/>
  <c r="S1234" i="1"/>
  <c r="R1234" i="1"/>
  <c r="C1234" i="1"/>
  <c r="T1233" i="1"/>
  <c r="S1233" i="1"/>
  <c r="R1233" i="1"/>
  <c r="C1233" i="1"/>
  <c r="T1232" i="1"/>
  <c r="S1232" i="1"/>
  <c r="R1232" i="1"/>
  <c r="C1232" i="1"/>
  <c r="T1231" i="1"/>
  <c r="S1231" i="1"/>
  <c r="R1231" i="1"/>
  <c r="C1231" i="1"/>
  <c r="T1230" i="1"/>
  <c r="S1230" i="1"/>
  <c r="R1230" i="1"/>
  <c r="C1230" i="1"/>
  <c r="T1229" i="1"/>
  <c r="S1229" i="1"/>
  <c r="R1229" i="1"/>
  <c r="C1229" i="1"/>
  <c r="T1228" i="1"/>
  <c r="S1228" i="1"/>
  <c r="R1228" i="1"/>
  <c r="C1228" i="1"/>
  <c r="T1227" i="1"/>
  <c r="S1227" i="1"/>
  <c r="R1227" i="1"/>
  <c r="C1227" i="1"/>
  <c r="T1226" i="1"/>
  <c r="S1226" i="1"/>
  <c r="R1226" i="1"/>
  <c r="C1226" i="1"/>
  <c r="T1225" i="1"/>
  <c r="S1225" i="1"/>
  <c r="R1225" i="1"/>
  <c r="C1225" i="1"/>
  <c r="T1224" i="1"/>
  <c r="S1224" i="1"/>
  <c r="R1224" i="1"/>
  <c r="C1224" i="1"/>
  <c r="T1223" i="1"/>
  <c r="S1223" i="1"/>
  <c r="R1223" i="1"/>
  <c r="C1223" i="1"/>
  <c r="T1222" i="1"/>
  <c r="S1222" i="1"/>
  <c r="R1222" i="1"/>
  <c r="C1222" i="1"/>
  <c r="T1221" i="1"/>
  <c r="S1221" i="1"/>
  <c r="R1221" i="1"/>
  <c r="C1221" i="1"/>
  <c r="T1220" i="1"/>
  <c r="S1220" i="1"/>
  <c r="R1220" i="1"/>
  <c r="C1220" i="1"/>
  <c r="T1219" i="1"/>
  <c r="S1219" i="1"/>
  <c r="R1219" i="1"/>
  <c r="C1219" i="1"/>
  <c r="T1218" i="1"/>
  <c r="S1218" i="1"/>
  <c r="R1218" i="1"/>
  <c r="C1218" i="1"/>
  <c r="T1217" i="1"/>
  <c r="S1217" i="1"/>
  <c r="R1217" i="1"/>
  <c r="C1217" i="1"/>
  <c r="T1216" i="1"/>
  <c r="S1216" i="1"/>
  <c r="R1216" i="1"/>
  <c r="C1216" i="1"/>
  <c r="T1215" i="1"/>
  <c r="S1215" i="1"/>
  <c r="R1215" i="1"/>
  <c r="C1215" i="1"/>
  <c r="T1214" i="1"/>
  <c r="S1214" i="1"/>
  <c r="R1214" i="1"/>
  <c r="C1214" i="1"/>
  <c r="T1213" i="1"/>
  <c r="S1213" i="1"/>
  <c r="R1213" i="1"/>
  <c r="C1213" i="1"/>
  <c r="T1212" i="1"/>
  <c r="S1212" i="1"/>
  <c r="R1212" i="1"/>
  <c r="C1212" i="1"/>
  <c r="T1211" i="1"/>
  <c r="S1211" i="1"/>
  <c r="R1211" i="1"/>
  <c r="C1211" i="1"/>
  <c r="T1210" i="1"/>
  <c r="S1210" i="1"/>
  <c r="R1210" i="1"/>
  <c r="C1210" i="1"/>
  <c r="T1209" i="1"/>
  <c r="S1209" i="1"/>
  <c r="R1209" i="1"/>
  <c r="C1209" i="1"/>
  <c r="T1208" i="1"/>
  <c r="S1208" i="1"/>
  <c r="R1208" i="1"/>
  <c r="C1208" i="1"/>
  <c r="T1207" i="1"/>
  <c r="S1207" i="1"/>
  <c r="R1207" i="1"/>
  <c r="C1207" i="1"/>
  <c r="T1206" i="1"/>
  <c r="S1206" i="1"/>
  <c r="R1206" i="1"/>
  <c r="C1206" i="1"/>
  <c r="T1205" i="1"/>
  <c r="S1205" i="1"/>
  <c r="R1205" i="1"/>
  <c r="C1205" i="1"/>
  <c r="T1204" i="1"/>
  <c r="S1204" i="1"/>
  <c r="R1204" i="1"/>
  <c r="C1204" i="1"/>
  <c r="T1203" i="1"/>
  <c r="S1203" i="1"/>
  <c r="R1203" i="1"/>
  <c r="C1203" i="1"/>
  <c r="T1202" i="1"/>
  <c r="S1202" i="1"/>
  <c r="R1202" i="1"/>
  <c r="C1202" i="1"/>
  <c r="T1201" i="1"/>
  <c r="S1201" i="1"/>
  <c r="R1201" i="1"/>
  <c r="C1201" i="1"/>
  <c r="T1200" i="1"/>
  <c r="S1200" i="1"/>
  <c r="R1200" i="1"/>
  <c r="C1200" i="1"/>
  <c r="T1199" i="1"/>
  <c r="S1199" i="1"/>
  <c r="R1199" i="1"/>
  <c r="C1199" i="1"/>
  <c r="T1198" i="1"/>
  <c r="S1198" i="1"/>
  <c r="R1198" i="1"/>
  <c r="C1198" i="1"/>
  <c r="T1197" i="1"/>
  <c r="S1197" i="1"/>
  <c r="R1197" i="1"/>
  <c r="C1197" i="1"/>
  <c r="T1196" i="1"/>
  <c r="S1196" i="1"/>
  <c r="R1196" i="1"/>
  <c r="C1196" i="1"/>
  <c r="T1195" i="1"/>
  <c r="S1195" i="1"/>
  <c r="R1195" i="1"/>
  <c r="C1195" i="1"/>
  <c r="T1194" i="1"/>
  <c r="S1194" i="1"/>
  <c r="R1194" i="1"/>
  <c r="C1194" i="1"/>
  <c r="T1193" i="1"/>
  <c r="S1193" i="1"/>
  <c r="R1193" i="1"/>
  <c r="C1193" i="1"/>
  <c r="T1192" i="1"/>
  <c r="S1192" i="1"/>
  <c r="R1192" i="1"/>
  <c r="C1192" i="1"/>
  <c r="T1191" i="1"/>
  <c r="S1191" i="1"/>
  <c r="R1191" i="1"/>
  <c r="C1191" i="1"/>
  <c r="T1190" i="1"/>
  <c r="S1190" i="1"/>
  <c r="R1190" i="1"/>
  <c r="C1190" i="1"/>
  <c r="T1189" i="1"/>
  <c r="S1189" i="1"/>
  <c r="R1189" i="1"/>
  <c r="C1189" i="1"/>
  <c r="T1188" i="1"/>
  <c r="S1188" i="1"/>
  <c r="R1188" i="1"/>
  <c r="C1188" i="1"/>
  <c r="T1187" i="1"/>
  <c r="S1187" i="1"/>
  <c r="R1187" i="1"/>
  <c r="C1187" i="1"/>
  <c r="T1186" i="1"/>
  <c r="S1186" i="1"/>
  <c r="R1186" i="1"/>
  <c r="C1186" i="1"/>
  <c r="T1185" i="1"/>
  <c r="S1185" i="1"/>
  <c r="R1185" i="1"/>
  <c r="C1185" i="1"/>
  <c r="T1184" i="1"/>
  <c r="S1184" i="1"/>
  <c r="R1184" i="1"/>
  <c r="C1184" i="1"/>
  <c r="T1183" i="1"/>
  <c r="S1183" i="1"/>
  <c r="R1183" i="1"/>
  <c r="C1183" i="1"/>
  <c r="T1182" i="1"/>
  <c r="S1182" i="1"/>
  <c r="R1182" i="1"/>
  <c r="C1182" i="1"/>
  <c r="T1181" i="1"/>
  <c r="S1181" i="1"/>
  <c r="R1181" i="1"/>
  <c r="C1181" i="1"/>
  <c r="T1180" i="1"/>
  <c r="S1180" i="1"/>
  <c r="R1180" i="1"/>
  <c r="C1180" i="1"/>
  <c r="T1179" i="1"/>
  <c r="S1179" i="1"/>
  <c r="R1179" i="1"/>
  <c r="C1179" i="1"/>
  <c r="T1178" i="1"/>
  <c r="S1178" i="1"/>
  <c r="R1178" i="1"/>
  <c r="C1178" i="1"/>
  <c r="T1177" i="1"/>
  <c r="S1177" i="1"/>
  <c r="R1177" i="1"/>
  <c r="C1177" i="1"/>
  <c r="T1176" i="1"/>
  <c r="S1176" i="1"/>
  <c r="R1176" i="1"/>
  <c r="C1176" i="1"/>
  <c r="T1175" i="1"/>
  <c r="S1175" i="1"/>
  <c r="R1175" i="1"/>
  <c r="C1175" i="1"/>
  <c r="T1174" i="1"/>
  <c r="S1174" i="1"/>
  <c r="R1174" i="1"/>
  <c r="C1174" i="1"/>
  <c r="T1173" i="1"/>
  <c r="S1173" i="1"/>
  <c r="R1173" i="1"/>
  <c r="C1173" i="1"/>
  <c r="T1172" i="1"/>
  <c r="S1172" i="1"/>
  <c r="R1172" i="1"/>
  <c r="C1172" i="1"/>
  <c r="T1171" i="1"/>
  <c r="S1171" i="1"/>
  <c r="R1171" i="1"/>
  <c r="C1171" i="1"/>
  <c r="T1170" i="1"/>
  <c r="S1170" i="1"/>
  <c r="R1170" i="1"/>
  <c r="C1170" i="1"/>
  <c r="T1169" i="1"/>
  <c r="S1169" i="1"/>
  <c r="R1169" i="1"/>
  <c r="C1169" i="1"/>
  <c r="T1168" i="1"/>
  <c r="S1168" i="1"/>
  <c r="R1168" i="1"/>
  <c r="C1168" i="1"/>
  <c r="T1167" i="1"/>
  <c r="S1167" i="1"/>
  <c r="R1167" i="1"/>
  <c r="C1167" i="1"/>
  <c r="T1166" i="1"/>
  <c r="S1166" i="1"/>
  <c r="R1166" i="1"/>
  <c r="C1166" i="1"/>
  <c r="T1165" i="1"/>
  <c r="S1165" i="1"/>
  <c r="R1165" i="1"/>
  <c r="C1165" i="1"/>
  <c r="T1164" i="1"/>
  <c r="S1164" i="1"/>
  <c r="R1164" i="1"/>
  <c r="C1164" i="1"/>
  <c r="T1163" i="1"/>
  <c r="S1163" i="1"/>
  <c r="R1163" i="1"/>
  <c r="C1163" i="1"/>
  <c r="T1162" i="1"/>
  <c r="S1162" i="1"/>
  <c r="R1162" i="1"/>
  <c r="C1162" i="1"/>
  <c r="T1161" i="1"/>
  <c r="S1161" i="1"/>
  <c r="R1161" i="1"/>
  <c r="C1161" i="1"/>
  <c r="T1160" i="1"/>
  <c r="S1160" i="1"/>
  <c r="R1160" i="1"/>
  <c r="C1160" i="1"/>
  <c r="T1159" i="1"/>
  <c r="S1159" i="1"/>
  <c r="R1159" i="1"/>
  <c r="C1159" i="1"/>
  <c r="T1158" i="1"/>
  <c r="S1158" i="1"/>
  <c r="R1158" i="1"/>
  <c r="C1158" i="1"/>
  <c r="T1157" i="1"/>
  <c r="S1157" i="1"/>
  <c r="R1157" i="1"/>
  <c r="C1157" i="1"/>
  <c r="T1156" i="1"/>
  <c r="S1156" i="1"/>
  <c r="R1156" i="1"/>
  <c r="C1156" i="1"/>
  <c r="T1155" i="1"/>
  <c r="S1155" i="1"/>
  <c r="R1155" i="1"/>
  <c r="C1155" i="1"/>
  <c r="T1154" i="1"/>
  <c r="S1154" i="1"/>
  <c r="R1154" i="1"/>
  <c r="C1154" i="1"/>
  <c r="T1153" i="1"/>
  <c r="S1153" i="1"/>
  <c r="R1153" i="1"/>
  <c r="C1153" i="1"/>
  <c r="T1152" i="1"/>
  <c r="S1152" i="1"/>
  <c r="R1152" i="1"/>
  <c r="C1152" i="1"/>
  <c r="T1151" i="1"/>
  <c r="S1151" i="1"/>
  <c r="R1151" i="1"/>
  <c r="C1151" i="1"/>
  <c r="T1150" i="1"/>
  <c r="S1150" i="1"/>
  <c r="R1150" i="1"/>
  <c r="C1150" i="1"/>
  <c r="T1149" i="1"/>
  <c r="S1149" i="1"/>
  <c r="R1149" i="1"/>
  <c r="C1149" i="1"/>
  <c r="T1148" i="1"/>
  <c r="S1148" i="1"/>
  <c r="R1148" i="1"/>
  <c r="C1148" i="1"/>
  <c r="T1147" i="1"/>
  <c r="S1147" i="1"/>
  <c r="R1147" i="1"/>
  <c r="C1147" i="1"/>
  <c r="T1146" i="1"/>
  <c r="S1146" i="1"/>
  <c r="R1146" i="1"/>
  <c r="C1146" i="1"/>
  <c r="T1145" i="1"/>
  <c r="S1145" i="1"/>
  <c r="R1145" i="1"/>
  <c r="C1145" i="1"/>
  <c r="T1144" i="1"/>
  <c r="S1144" i="1"/>
  <c r="R1144" i="1"/>
  <c r="C1144" i="1"/>
  <c r="T1143" i="1"/>
  <c r="S1143" i="1"/>
  <c r="R1143" i="1"/>
  <c r="C1143" i="1"/>
  <c r="T1142" i="1"/>
  <c r="S1142" i="1"/>
  <c r="R1142" i="1"/>
  <c r="C1142" i="1"/>
  <c r="T1141" i="1"/>
  <c r="S1141" i="1"/>
  <c r="R1141" i="1"/>
  <c r="C1141" i="1"/>
  <c r="T1140" i="1"/>
  <c r="S1140" i="1"/>
  <c r="R1140" i="1"/>
  <c r="C1140" i="1"/>
  <c r="T1139" i="1"/>
  <c r="S1139" i="1"/>
  <c r="R1139" i="1"/>
  <c r="C1139" i="1"/>
  <c r="T1138" i="1"/>
  <c r="S1138" i="1"/>
  <c r="R1138" i="1"/>
  <c r="C1138" i="1"/>
  <c r="T1137" i="1"/>
  <c r="S1137" i="1"/>
  <c r="R1137" i="1"/>
  <c r="C1137" i="1"/>
  <c r="T1136" i="1"/>
  <c r="S1136" i="1"/>
  <c r="R1136" i="1"/>
  <c r="C1136" i="1"/>
  <c r="T1135" i="1"/>
  <c r="S1135" i="1"/>
  <c r="R1135" i="1"/>
  <c r="C1135" i="1"/>
  <c r="T1134" i="1"/>
  <c r="S1134" i="1"/>
  <c r="R1134" i="1"/>
  <c r="C1134" i="1"/>
  <c r="T1133" i="1"/>
  <c r="S1133" i="1"/>
  <c r="R1133" i="1"/>
  <c r="C1133" i="1"/>
  <c r="T1132" i="1"/>
  <c r="S1132" i="1"/>
  <c r="R1132" i="1"/>
  <c r="C1132" i="1"/>
  <c r="T1131" i="1"/>
  <c r="S1131" i="1"/>
  <c r="R1131" i="1"/>
  <c r="C1131" i="1"/>
  <c r="T1130" i="1"/>
  <c r="S1130" i="1"/>
  <c r="R1130" i="1"/>
  <c r="C1130" i="1"/>
  <c r="T1129" i="1"/>
  <c r="S1129" i="1"/>
  <c r="R1129" i="1"/>
  <c r="C1129" i="1"/>
  <c r="T1128" i="1"/>
  <c r="S1128" i="1"/>
  <c r="R1128" i="1"/>
  <c r="C1128" i="1"/>
  <c r="T1127" i="1"/>
  <c r="S1127" i="1"/>
  <c r="R1127" i="1"/>
  <c r="C1127" i="1"/>
  <c r="T1126" i="1"/>
  <c r="S1126" i="1"/>
  <c r="R1126" i="1"/>
  <c r="C1126" i="1"/>
  <c r="T1125" i="1"/>
  <c r="S1125" i="1"/>
  <c r="R1125" i="1"/>
  <c r="C1125" i="1"/>
  <c r="T1124" i="1"/>
  <c r="S1124" i="1"/>
  <c r="R1124" i="1"/>
  <c r="C1124" i="1"/>
  <c r="T1123" i="1"/>
  <c r="S1123" i="1"/>
  <c r="R1123" i="1"/>
  <c r="C1123" i="1"/>
  <c r="T1122" i="1"/>
  <c r="S1122" i="1"/>
  <c r="R1122" i="1"/>
  <c r="C1122" i="1"/>
  <c r="T1121" i="1"/>
  <c r="S1121" i="1"/>
  <c r="R1121" i="1"/>
  <c r="C1121" i="1"/>
  <c r="T1120" i="1"/>
  <c r="S1120" i="1"/>
  <c r="R1120" i="1"/>
  <c r="C1120" i="1"/>
  <c r="T1119" i="1"/>
  <c r="S1119" i="1"/>
  <c r="R1119" i="1"/>
  <c r="C1119" i="1"/>
  <c r="T1118" i="1"/>
  <c r="S1118" i="1"/>
  <c r="R1118" i="1"/>
  <c r="C1118" i="1"/>
  <c r="T1117" i="1"/>
  <c r="S1117" i="1"/>
  <c r="R1117" i="1"/>
  <c r="C1117" i="1"/>
  <c r="T1116" i="1"/>
  <c r="S1116" i="1"/>
  <c r="R1116" i="1"/>
  <c r="C1116" i="1"/>
  <c r="T1115" i="1"/>
  <c r="S1115" i="1"/>
  <c r="R1115" i="1"/>
  <c r="C1115" i="1"/>
  <c r="T1114" i="1"/>
  <c r="S1114" i="1"/>
  <c r="R1114" i="1"/>
  <c r="C1114" i="1"/>
  <c r="T1113" i="1"/>
  <c r="S1113" i="1"/>
  <c r="R1113" i="1"/>
  <c r="C1113" i="1"/>
  <c r="T1112" i="1"/>
  <c r="S1112" i="1"/>
  <c r="R1112" i="1"/>
  <c r="C1112" i="1"/>
  <c r="T1111" i="1"/>
  <c r="S1111" i="1"/>
  <c r="R1111" i="1"/>
  <c r="C1111" i="1"/>
  <c r="T1110" i="1"/>
  <c r="S1110" i="1"/>
  <c r="R1110" i="1"/>
  <c r="C1110" i="1"/>
  <c r="T1109" i="1"/>
  <c r="S1109" i="1"/>
  <c r="R1109" i="1"/>
  <c r="C1109" i="1"/>
  <c r="T1108" i="1"/>
  <c r="S1108" i="1"/>
  <c r="R1108" i="1"/>
  <c r="C1108" i="1"/>
  <c r="T1107" i="1"/>
  <c r="S1107" i="1"/>
  <c r="R1107" i="1"/>
  <c r="C1107" i="1"/>
  <c r="T1106" i="1"/>
  <c r="S1106" i="1"/>
  <c r="R1106" i="1"/>
  <c r="C1106" i="1"/>
  <c r="T1105" i="1"/>
  <c r="S1105" i="1"/>
  <c r="R1105" i="1"/>
  <c r="C1105" i="1"/>
  <c r="T1104" i="1"/>
  <c r="S1104" i="1"/>
  <c r="R1104" i="1"/>
  <c r="C1104" i="1"/>
  <c r="T1103" i="1"/>
  <c r="S1103" i="1"/>
  <c r="R1103" i="1"/>
  <c r="C1103" i="1"/>
  <c r="T1102" i="1"/>
  <c r="S1102" i="1"/>
  <c r="R1102" i="1"/>
  <c r="C1102" i="1"/>
  <c r="T1101" i="1"/>
  <c r="S1101" i="1"/>
  <c r="R1101" i="1"/>
  <c r="C1101" i="1"/>
  <c r="T1100" i="1"/>
  <c r="S1100" i="1"/>
  <c r="R1100" i="1"/>
  <c r="C1100" i="1"/>
  <c r="T1099" i="1"/>
  <c r="S1099" i="1"/>
  <c r="R1099" i="1"/>
  <c r="C1099" i="1"/>
  <c r="T1098" i="1"/>
  <c r="S1098" i="1"/>
  <c r="R1098" i="1"/>
  <c r="C1098" i="1"/>
  <c r="T1097" i="1"/>
  <c r="S1097" i="1"/>
  <c r="R1097" i="1"/>
  <c r="C1097" i="1"/>
  <c r="T1096" i="1"/>
  <c r="S1096" i="1"/>
  <c r="R1096" i="1"/>
  <c r="C1096" i="1"/>
  <c r="T1095" i="1"/>
  <c r="S1095" i="1"/>
  <c r="R1095" i="1"/>
  <c r="C1095" i="1"/>
  <c r="T1094" i="1"/>
  <c r="S1094" i="1"/>
  <c r="R1094" i="1"/>
  <c r="C1094" i="1"/>
  <c r="T1093" i="1"/>
  <c r="S1093" i="1"/>
  <c r="R1093" i="1"/>
  <c r="C1093" i="1"/>
  <c r="T1092" i="1"/>
  <c r="S1092" i="1"/>
  <c r="R1092" i="1"/>
  <c r="C1092" i="1"/>
  <c r="T1091" i="1"/>
  <c r="S1091" i="1"/>
  <c r="R1091" i="1"/>
  <c r="C1091" i="1"/>
  <c r="T1090" i="1"/>
  <c r="S1090" i="1"/>
  <c r="R1090" i="1"/>
  <c r="C1090" i="1"/>
  <c r="T1089" i="1"/>
  <c r="S1089" i="1"/>
  <c r="R1089" i="1"/>
  <c r="C1089" i="1"/>
  <c r="T1088" i="1"/>
  <c r="S1088" i="1"/>
  <c r="R1088" i="1"/>
  <c r="C1088" i="1"/>
  <c r="T1087" i="1"/>
  <c r="S1087" i="1"/>
  <c r="R1087" i="1"/>
  <c r="C1087" i="1"/>
  <c r="T1086" i="1"/>
  <c r="S1086" i="1"/>
  <c r="R1086" i="1"/>
  <c r="C1086" i="1"/>
  <c r="T1085" i="1"/>
  <c r="S1085" i="1"/>
  <c r="R1085" i="1"/>
  <c r="C1085" i="1"/>
  <c r="T1084" i="1"/>
  <c r="S1084" i="1"/>
  <c r="R1084" i="1"/>
  <c r="C1084" i="1"/>
  <c r="T1083" i="1"/>
  <c r="S1083" i="1"/>
  <c r="R1083" i="1"/>
  <c r="C1083" i="1"/>
  <c r="T1082" i="1"/>
  <c r="S1082" i="1"/>
  <c r="R1082" i="1"/>
  <c r="C1082" i="1"/>
  <c r="T1081" i="1"/>
  <c r="S1081" i="1"/>
  <c r="R1081" i="1"/>
  <c r="C1081" i="1"/>
  <c r="T1080" i="1"/>
  <c r="S1080" i="1"/>
  <c r="R1080" i="1"/>
  <c r="C1080" i="1"/>
  <c r="T1079" i="1"/>
  <c r="S1079" i="1"/>
  <c r="R1079" i="1"/>
  <c r="C1079" i="1"/>
  <c r="T1078" i="1"/>
  <c r="S1078" i="1"/>
  <c r="R1078" i="1"/>
  <c r="C1078" i="1"/>
  <c r="T1077" i="1"/>
  <c r="S1077" i="1"/>
  <c r="R1077" i="1"/>
  <c r="C1077" i="1"/>
  <c r="T1076" i="1"/>
  <c r="S1076" i="1"/>
  <c r="R1076" i="1"/>
  <c r="C1076" i="1"/>
  <c r="T1075" i="1"/>
  <c r="S1075" i="1"/>
  <c r="R1075" i="1"/>
  <c r="C1075" i="1"/>
  <c r="T1074" i="1"/>
  <c r="S1074" i="1"/>
  <c r="R1074" i="1"/>
  <c r="C1074" i="1"/>
  <c r="T1073" i="1"/>
  <c r="S1073" i="1"/>
  <c r="R1073" i="1"/>
  <c r="C1073" i="1"/>
  <c r="T1072" i="1"/>
  <c r="S1072" i="1"/>
  <c r="R1072" i="1"/>
  <c r="C1072" i="1"/>
  <c r="T1071" i="1"/>
  <c r="S1071" i="1"/>
  <c r="R1071" i="1"/>
  <c r="C1071" i="1"/>
  <c r="T1070" i="1"/>
  <c r="S1070" i="1"/>
  <c r="R1070" i="1"/>
  <c r="C1070" i="1"/>
  <c r="T1069" i="1"/>
  <c r="S1069" i="1"/>
  <c r="R1069" i="1"/>
  <c r="C1069" i="1"/>
  <c r="T1068" i="1"/>
  <c r="S1068" i="1"/>
  <c r="R1068" i="1"/>
  <c r="C1068" i="1"/>
  <c r="T1067" i="1"/>
  <c r="S1067" i="1"/>
  <c r="R1067" i="1"/>
  <c r="C1067" i="1"/>
  <c r="T1066" i="1"/>
  <c r="S1066" i="1"/>
  <c r="R1066" i="1"/>
  <c r="C1066" i="1"/>
  <c r="T1065" i="1"/>
  <c r="S1065" i="1"/>
  <c r="R1065" i="1"/>
  <c r="C1065" i="1"/>
  <c r="T1064" i="1"/>
  <c r="S1064" i="1"/>
  <c r="R1064" i="1"/>
  <c r="C1064" i="1"/>
  <c r="T1063" i="1"/>
  <c r="S1063" i="1"/>
  <c r="R1063" i="1"/>
  <c r="C1063" i="1"/>
  <c r="T1062" i="1"/>
  <c r="S1062" i="1"/>
  <c r="R1062" i="1"/>
  <c r="C1062" i="1"/>
  <c r="T1061" i="1"/>
  <c r="S1061" i="1"/>
  <c r="R1061" i="1"/>
  <c r="C1061" i="1"/>
  <c r="T1060" i="1"/>
  <c r="S1060" i="1"/>
  <c r="R1060" i="1"/>
  <c r="C1060" i="1"/>
  <c r="T1059" i="1"/>
  <c r="S1059" i="1"/>
  <c r="R1059" i="1"/>
  <c r="C1059" i="1"/>
  <c r="T1058" i="1"/>
  <c r="S1058" i="1"/>
  <c r="R1058" i="1"/>
  <c r="C1058" i="1"/>
  <c r="T1057" i="1"/>
  <c r="S1057" i="1"/>
  <c r="R1057" i="1"/>
  <c r="C1057" i="1"/>
  <c r="T1056" i="1"/>
  <c r="S1056" i="1"/>
  <c r="R1056" i="1"/>
  <c r="C1056" i="1"/>
  <c r="T1055" i="1"/>
  <c r="S1055" i="1"/>
  <c r="R1055" i="1"/>
  <c r="C1055" i="1"/>
  <c r="T1054" i="1"/>
  <c r="S1054" i="1"/>
  <c r="R1054" i="1"/>
  <c r="C1054" i="1"/>
  <c r="T1053" i="1"/>
  <c r="S1053" i="1"/>
  <c r="R1053" i="1"/>
  <c r="C1053" i="1"/>
  <c r="T1052" i="1"/>
  <c r="S1052" i="1"/>
  <c r="R1052" i="1"/>
  <c r="C1052" i="1"/>
  <c r="T1051" i="1"/>
  <c r="S1051" i="1"/>
  <c r="R1051" i="1"/>
  <c r="C1051" i="1"/>
  <c r="T1050" i="1"/>
  <c r="S1050" i="1"/>
  <c r="R1050" i="1"/>
  <c r="C1050" i="1"/>
  <c r="T1049" i="1"/>
  <c r="S1049" i="1"/>
  <c r="R1049" i="1"/>
  <c r="C1049" i="1"/>
  <c r="T1048" i="1"/>
  <c r="S1048" i="1"/>
  <c r="R1048" i="1"/>
  <c r="C1048" i="1"/>
  <c r="T1047" i="1"/>
  <c r="S1047" i="1"/>
  <c r="R1047" i="1"/>
  <c r="C1047" i="1"/>
  <c r="T1046" i="1"/>
  <c r="S1046" i="1"/>
  <c r="R1046" i="1"/>
  <c r="C1046" i="1"/>
  <c r="T1045" i="1"/>
  <c r="S1045" i="1"/>
  <c r="R1045" i="1"/>
  <c r="C1045" i="1"/>
  <c r="T1044" i="1"/>
  <c r="S1044" i="1"/>
  <c r="R1044" i="1"/>
  <c r="C1044" i="1"/>
  <c r="T1043" i="1"/>
  <c r="S1043" i="1"/>
  <c r="R1043" i="1"/>
  <c r="C1043" i="1"/>
  <c r="T1042" i="1"/>
  <c r="S1042" i="1"/>
  <c r="R1042" i="1"/>
  <c r="C1042" i="1"/>
  <c r="T1041" i="1"/>
  <c r="S1041" i="1"/>
  <c r="R1041" i="1"/>
  <c r="C1041" i="1"/>
  <c r="T1040" i="1"/>
  <c r="S1040" i="1"/>
  <c r="R1040" i="1"/>
  <c r="C1040" i="1"/>
  <c r="T1039" i="1"/>
  <c r="S1039" i="1"/>
  <c r="R1039" i="1"/>
  <c r="C1039" i="1"/>
  <c r="T1038" i="1"/>
  <c r="S1038" i="1"/>
  <c r="R1038" i="1"/>
  <c r="C1038" i="1"/>
  <c r="T1037" i="1"/>
  <c r="S1037" i="1"/>
  <c r="R1037" i="1"/>
  <c r="C1037" i="1"/>
  <c r="T1036" i="1"/>
  <c r="S1036" i="1"/>
  <c r="R1036" i="1"/>
  <c r="C1036" i="1"/>
  <c r="T1035" i="1"/>
  <c r="S1035" i="1"/>
  <c r="R1035" i="1"/>
  <c r="C1035" i="1"/>
  <c r="T1034" i="1"/>
  <c r="S1034" i="1"/>
  <c r="R1034" i="1"/>
  <c r="C1034" i="1"/>
  <c r="T1033" i="1"/>
  <c r="S1033" i="1"/>
  <c r="R1033" i="1"/>
  <c r="C1033" i="1"/>
  <c r="T1032" i="1"/>
  <c r="S1032" i="1"/>
  <c r="R1032" i="1"/>
  <c r="C1032" i="1"/>
  <c r="T1031" i="1"/>
  <c r="S1031" i="1"/>
  <c r="R1031" i="1"/>
  <c r="C1031" i="1"/>
  <c r="T1030" i="1"/>
  <c r="S1030" i="1"/>
  <c r="R1030" i="1"/>
  <c r="C1030" i="1"/>
  <c r="T1029" i="1"/>
  <c r="S1029" i="1"/>
  <c r="R1029" i="1"/>
  <c r="C1029" i="1"/>
  <c r="T1028" i="1"/>
  <c r="S1028" i="1"/>
  <c r="R1028" i="1"/>
  <c r="C1028" i="1"/>
  <c r="T1027" i="1"/>
  <c r="S1027" i="1"/>
  <c r="R1027" i="1"/>
  <c r="C1027" i="1"/>
  <c r="T1026" i="1"/>
  <c r="S1026" i="1"/>
  <c r="R1026" i="1"/>
  <c r="C1026" i="1"/>
  <c r="T1025" i="1"/>
  <c r="S1025" i="1"/>
  <c r="R1025" i="1"/>
  <c r="C1025" i="1"/>
  <c r="T1024" i="1"/>
  <c r="S1024" i="1"/>
  <c r="R1024" i="1"/>
  <c r="C1024" i="1"/>
  <c r="T1023" i="1"/>
  <c r="S1023" i="1"/>
  <c r="R1023" i="1"/>
  <c r="C1023" i="1"/>
  <c r="T1022" i="1"/>
  <c r="S1022" i="1"/>
  <c r="R1022" i="1"/>
  <c r="C1022" i="1"/>
  <c r="T1021" i="1"/>
  <c r="S1021" i="1"/>
  <c r="R1021" i="1"/>
  <c r="C1021" i="1"/>
  <c r="T1020" i="1"/>
  <c r="S1020" i="1"/>
  <c r="R1020" i="1"/>
  <c r="C1020" i="1"/>
  <c r="T1019" i="1"/>
  <c r="S1019" i="1"/>
  <c r="R1019" i="1"/>
  <c r="C1019" i="1"/>
  <c r="T1018" i="1"/>
  <c r="S1018" i="1"/>
  <c r="R1018" i="1"/>
  <c r="C1018" i="1"/>
  <c r="T1017" i="1"/>
  <c r="S1017" i="1"/>
  <c r="R1017" i="1"/>
  <c r="C1017" i="1"/>
  <c r="T1016" i="1"/>
  <c r="S1016" i="1"/>
  <c r="R1016" i="1"/>
  <c r="C1016" i="1"/>
  <c r="T1015" i="1"/>
  <c r="S1015" i="1"/>
  <c r="R1015" i="1"/>
  <c r="C1015" i="1"/>
  <c r="T1014" i="1"/>
  <c r="S1014" i="1"/>
  <c r="R1014" i="1"/>
  <c r="C1014" i="1"/>
  <c r="T1013" i="1"/>
  <c r="S1013" i="1"/>
  <c r="R1013" i="1"/>
  <c r="C1013" i="1"/>
  <c r="T1012" i="1"/>
  <c r="S1012" i="1"/>
  <c r="R1012" i="1"/>
  <c r="C1012" i="1"/>
  <c r="T1011" i="1"/>
  <c r="S1011" i="1"/>
  <c r="R1011" i="1"/>
  <c r="C1011" i="1"/>
  <c r="T1010" i="1"/>
  <c r="S1010" i="1"/>
  <c r="R1010" i="1"/>
  <c r="C1010" i="1"/>
  <c r="T1009" i="1"/>
  <c r="S1009" i="1"/>
  <c r="R1009" i="1"/>
  <c r="C1009" i="1"/>
  <c r="T1008" i="1"/>
  <c r="S1008" i="1"/>
  <c r="R1008" i="1"/>
  <c r="C1008" i="1"/>
  <c r="T1007" i="1"/>
  <c r="S1007" i="1"/>
  <c r="R1007" i="1"/>
  <c r="C1007" i="1"/>
  <c r="T1006" i="1"/>
  <c r="S1006" i="1"/>
  <c r="R1006" i="1"/>
  <c r="C1006" i="1"/>
  <c r="T1005" i="1"/>
  <c r="S1005" i="1"/>
  <c r="R1005" i="1"/>
  <c r="C1005" i="1"/>
  <c r="T1004" i="1"/>
  <c r="S1004" i="1"/>
  <c r="R1004" i="1"/>
  <c r="C1004" i="1"/>
  <c r="T1003" i="1"/>
  <c r="S1003" i="1"/>
  <c r="R1003" i="1"/>
  <c r="C1003" i="1"/>
  <c r="T1002" i="1"/>
  <c r="S1002" i="1"/>
  <c r="R1002" i="1"/>
  <c r="C1002" i="1"/>
  <c r="T1001" i="1"/>
  <c r="S1001" i="1"/>
  <c r="R1001" i="1"/>
  <c r="C1001" i="1"/>
  <c r="T1000" i="1"/>
  <c r="S1000" i="1"/>
  <c r="R1000" i="1"/>
  <c r="C1000" i="1"/>
  <c r="T999" i="1"/>
  <c r="S999" i="1"/>
  <c r="R999" i="1"/>
  <c r="C999" i="1"/>
  <c r="T998" i="1"/>
  <c r="S998" i="1"/>
  <c r="R998" i="1"/>
  <c r="C998" i="1"/>
  <c r="T997" i="1"/>
  <c r="S997" i="1"/>
  <c r="R997" i="1"/>
  <c r="C997" i="1"/>
  <c r="T996" i="1"/>
  <c r="S996" i="1"/>
  <c r="R996" i="1"/>
  <c r="C996" i="1"/>
  <c r="T995" i="1"/>
  <c r="S995" i="1"/>
  <c r="R995" i="1"/>
  <c r="C995" i="1"/>
  <c r="T994" i="1"/>
  <c r="S994" i="1"/>
  <c r="R994" i="1"/>
  <c r="C994" i="1"/>
  <c r="T993" i="1"/>
  <c r="S993" i="1"/>
  <c r="R993" i="1"/>
  <c r="C993" i="1"/>
  <c r="T992" i="1"/>
  <c r="S992" i="1"/>
  <c r="R992" i="1"/>
  <c r="C992" i="1"/>
  <c r="T991" i="1"/>
  <c r="S991" i="1"/>
  <c r="R991" i="1"/>
  <c r="C991" i="1"/>
  <c r="T990" i="1"/>
  <c r="S990" i="1"/>
  <c r="R990" i="1"/>
  <c r="C990" i="1"/>
  <c r="T989" i="1"/>
  <c r="S989" i="1"/>
  <c r="R989" i="1"/>
  <c r="C989" i="1"/>
  <c r="T988" i="1"/>
  <c r="S988" i="1"/>
  <c r="R988" i="1"/>
  <c r="C988" i="1"/>
  <c r="T987" i="1"/>
  <c r="S987" i="1"/>
  <c r="R987" i="1"/>
  <c r="C987" i="1"/>
  <c r="T986" i="1"/>
  <c r="S986" i="1"/>
  <c r="R986" i="1"/>
  <c r="C986" i="1"/>
  <c r="T985" i="1"/>
  <c r="S985" i="1"/>
  <c r="R985" i="1"/>
  <c r="C985" i="1"/>
  <c r="T984" i="1"/>
  <c r="S984" i="1"/>
  <c r="R984" i="1"/>
  <c r="C984" i="1"/>
  <c r="T983" i="1"/>
  <c r="S983" i="1"/>
  <c r="R983" i="1"/>
  <c r="C983" i="1"/>
  <c r="T982" i="1"/>
  <c r="S982" i="1"/>
  <c r="R982" i="1"/>
  <c r="C982" i="1"/>
  <c r="T981" i="1"/>
  <c r="S981" i="1"/>
  <c r="R981" i="1"/>
  <c r="C981" i="1"/>
  <c r="T980" i="1"/>
  <c r="S980" i="1"/>
  <c r="R980" i="1"/>
  <c r="C980" i="1"/>
  <c r="T979" i="1"/>
  <c r="S979" i="1"/>
  <c r="R979" i="1"/>
  <c r="C979" i="1"/>
  <c r="T978" i="1"/>
  <c r="S978" i="1"/>
  <c r="R978" i="1"/>
  <c r="C978" i="1"/>
  <c r="T977" i="1"/>
  <c r="S977" i="1"/>
  <c r="R977" i="1"/>
  <c r="C977" i="1"/>
  <c r="T976" i="1"/>
  <c r="S976" i="1"/>
  <c r="R976" i="1"/>
  <c r="C976" i="1"/>
  <c r="T975" i="1"/>
  <c r="S975" i="1"/>
  <c r="R975" i="1"/>
  <c r="C975" i="1"/>
  <c r="T974" i="1"/>
  <c r="S974" i="1"/>
  <c r="R974" i="1"/>
  <c r="C974" i="1"/>
  <c r="T973" i="1"/>
  <c r="S973" i="1"/>
  <c r="R973" i="1"/>
  <c r="C973" i="1"/>
  <c r="T972" i="1"/>
  <c r="S972" i="1"/>
  <c r="R972" i="1"/>
  <c r="C972" i="1"/>
  <c r="T971" i="1"/>
  <c r="S971" i="1"/>
  <c r="R971" i="1"/>
  <c r="C971" i="1"/>
  <c r="T970" i="1"/>
  <c r="S970" i="1"/>
  <c r="R970" i="1"/>
  <c r="C970" i="1"/>
  <c r="T969" i="1"/>
  <c r="S969" i="1"/>
  <c r="R969" i="1"/>
  <c r="C969" i="1"/>
  <c r="T968" i="1"/>
  <c r="S968" i="1"/>
  <c r="R968" i="1"/>
  <c r="C968" i="1"/>
  <c r="T967" i="1"/>
  <c r="S967" i="1"/>
  <c r="R967" i="1"/>
  <c r="C967" i="1"/>
  <c r="T966" i="1"/>
  <c r="S966" i="1"/>
  <c r="R966" i="1"/>
  <c r="C966" i="1"/>
  <c r="T965" i="1"/>
  <c r="S965" i="1"/>
  <c r="R965" i="1"/>
  <c r="C965" i="1"/>
  <c r="T964" i="1"/>
  <c r="S964" i="1"/>
  <c r="R964" i="1"/>
  <c r="C964" i="1"/>
  <c r="T963" i="1"/>
  <c r="S963" i="1"/>
  <c r="R963" i="1"/>
  <c r="C963" i="1"/>
  <c r="T962" i="1"/>
  <c r="S962" i="1"/>
  <c r="R962" i="1"/>
  <c r="C962" i="1"/>
  <c r="T961" i="1"/>
  <c r="S961" i="1"/>
  <c r="R961" i="1"/>
  <c r="C961" i="1"/>
  <c r="T960" i="1"/>
  <c r="S960" i="1"/>
  <c r="R960" i="1"/>
  <c r="C960" i="1"/>
  <c r="T959" i="1"/>
  <c r="S959" i="1"/>
  <c r="R959" i="1"/>
  <c r="C959" i="1"/>
  <c r="T958" i="1"/>
  <c r="S958" i="1"/>
  <c r="R958" i="1"/>
  <c r="C958" i="1"/>
  <c r="T957" i="1"/>
  <c r="S957" i="1"/>
  <c r="R957" i="1"/>
  <c r="C957" i="1"/>
  <c r="T956" i="1"/>
  <c r="S956" i="1"/>
  <c r="R956" i="1"/>
  <c r="C956" i="1"/>
  <c r="T955" i="1"/>
  <c r="S955" i="1"/>
  <c r="R955" i="1"/>
  <c r="C955" i="1"/>
  <c r="T954" i="1"/>
  <c r="S954" i="1"/>
  <c r="R954" i="1"/>
  <c r="C954" i="1"/>
  <c r="T953" i="1"/>
  <c r="S953" i="1"/>
  <c r="R953" i="1"/>
  <c r="C953" i="1"/>
  <c r="T952" i="1"/>
  <c r="S952" i="1"/>
  <c r="R952" i="1"/>
  <c r="C952" i="1"/>
  <c r="T951" i="1"/>
  <c r="S951" i="1"/>
  <c r="R951" i="1"/>
  <c r="C951" i="1"/>
  <c r="T950" i="1"/>
  <c r="S950" i="1"/>
  <c r="R950" i="1"/>
  <c r="C950" i="1"/>
  <c r="T949" i="1"/>
  <c r="S949" i="1"/>
  <c r="R949" i="1"/>
  <c r="C949" i="1"/>
  <c r="T948" i="1"/>
  <c r="S948" i="1"/>
  <c r="R948" i="1"/>
  <c r="C948" i="1"/>
  <c r="T947" i="1"/>
  <c r="S947" i="1"/>
  <c r="R947" i="1"/>
  <c r="C947" i="1"/>
  <c r="T946" i="1"/>
  <c r="S946" i="1"/>
  <c r="R946" i="1"/>
  <c r="C946" i="1"/>
  <c r="T945" i="1"/>
  <c r="S945" i="1"/>
  <c r="R945" i="1"/>
  <c r="C945" i="1"/>
  <c r="T944" i="1"/>
  <c r="S944" i="1"/>
  <c r="R944" i="1"/>
  <c r="C944" i="1"/>
  <c r="T943" i="1"/>
  <c r="S943" i="1"/>
  <c r="R943" i="1"/>
  <c r="C943" i="1"/>
  <c r="T942" i="1"/>
  <c r="S942" i="1"/>
  <c r="R942" i="1"/>
  <c r="C942" i="1"/>
  <c r="T941" i="1"/>
  <c r="S941" i="1"/>
  <c r="R941" i="1"/>
  <c r="C941" i="1"/>
  <c r="T940" i="1"/>
  <c r="S940" i="1"/>
  <c r="R940" i="1"/>
  <c r="C940" i="1"/>
  <c r="T939" i="1"/>
  <c r="S939" i="1"/>
  <c r="R939" i="1"/>
  <c r="C939" i="1"/>
  <c r="T938" i="1"/>
  <c r="S938" i="1"/>
  <c r="R938" i="1"/>
  <c r="C938" i="1"/>
  <c r="T937" i="1"/>
  <c r="S937" i="1"/>
  <c r="R937" i="1"/>
  <c r="C937" i="1"/>
  <c r="T936" i="1"/>
  <c r="S936" i="1"/>
  <c r="R936" i="1"/>
  <c r="C936" i="1"/>
  <c r="T935" i="1"/>
  <c r="S935" i="1"/>
  <c r="R935" i="1"/>
  <c r="C935" i="1"/>
  <c r="T934" i="1"/>
  <c r="S934" i="1"/>
  <c r="R934" i="1"/>
  <c r="C934" i="1"/>
  <c r="T933" i="1"/>
  <c r="S933" i="1"/>
  <c r="R933" i="1"/>
  <c r="C933" i="1"/>
  <c r="T932" i="1"/>
  <c r="S932" i="1"/>
  <c r="R932" i="1"/>
  <c r="C932" i="1"/>
  <c r="T931" i="1"/>
  <c r="S931" i="1"/>
  <c r="R931" i="1"/>
  <c r="C931" i="1"/>
  <c r="T930" i="1"/>
  <c r="S930" i="1"/>
  <c r="R930" i="1"/>
  <c r="C930" i="1"/>
  <c r="T929" i="1"/>
  <c r="S929" i="1"/>
  <c r="R929" i="1"/>
  <c r="C929" i="1"/>
  <c r="T928" i="1"/>
  <c r="S928" i="1"/>
  <c r="R928" i="1"/>
  <c r="C928" i="1"/>
  <c r="T927" i="1"/>
  <c r="S927" i="1"/>
  <c r="R927" i="1"/>
  <c r="C927" i="1"/>
  <c r="T926" i="1"/>
  <c r="S926" i="1"/>
  <c r="R926" i="1"/>
  <c r="C926" i="1"/>
  <c r="T925" i="1"/>
  <c r="S925" i="1"/>
  <c r="R925" i="1"/>
  <c r="C925" i="1"/>
  <c r="T924" i="1"/>
  <c r="S924" i="1"/>
  <c r="R924" i="1"/>
  <c r="C924" i="1"/>
  <c r="T923" i="1"/>
  <c r="S923" i="1"/>
  <c r="R923" i="1"/>
  <c r="C923" i="1"/>
  <c r="T922" i="1"/>
  <c r="S922" i="1"/>
  <c r="R922" i="1"/>
  <c r="C922" i="1"/>
  <c r="T921" i="1"/>
  <c r="S921" i="1"/>
  <c r="R921" i="1"/>
  <c r="C921" i="1"/>
  <c r="T920" i="1"/>
  <c r="S920" i="1"/>
  <c r="R920" i="1"/>
  <c r="C920" i="1"/>
  <c r="T919" i="1"/>
  <c r="S919" i="1"/>
  <c r="R919" i="1"/>
  <c r="C919" i="1"/>
  <c r="T918" i="1"/>
  <c r="S918" i="1"/>
  <c r="R918" i="1"/>
  <c r="C918" i="1"/>
  <c r="T917" i="1"/>
  <c r="S917" i="1"/>
  <c r="R917" i="1"/>
  <c r="C917" i="1"/>
  <c r="T916" i="1"/>
  <c r="S916" i="1"/>
  <c r="R916" i="1"/>
  <c r="C916" i="1"/>
  <c r="T915" i="1"/>
  <c r="S915" i="1"/>
  <c r="R915" i="1"/>
  <c r="C915" i="1"/>
  <c r="T914" i="1"/>
  <c r="S914" i="1"/>
  <c r="R914" i="1"/>
  <c r="C914" i="1"/>
  <c r="T913" i="1"/>
  <c r="S913" i="1"/>
  <c r="R913" i="1"/>
  <c r="C913" i="1"/>
  <c r="T912" i="1"/>
  <c r="S912" i="1"/>
  <c r="R912" i="1"/>
  <c r="C912" i="1"/>
  <c r="T911" i="1"/>
  <c r="S911" i="1"/>
  <c r="R911" i="1"/>
  <c r="C911" i="1"/>
  <c r="T910" i="1"/>
  <c r="S910" i="1"/>
  <c r="R910" i="1"/>
  <c r="C910" i="1"/>
  <c r="T909" i="1"/>
  <c r="S909" i="1"/>
  <c r="R909" i="1"/>
  <c r="C909" i="1"/>
  <c r="T908" i="1"/>
  <c r="S908" i="1"/>
  <c r="R908" i="1"/>
  <c r="C908" i="1"/>
  <c r="T907" i="1"/>
  <c r="S907" i="1"/>
  <c r="R907" i="1"/>
  <c r="C907" i="1"/>
  <c r="T906" i="1"/>
  <c r="S906" i="1"/>
  <c r="R906" i="1"/>
  <c r="C906" i="1"/>
  <c r="T905" i="1"/>
  <c r="S905" i="1"/>
  <c r="R905" i="1"/>
  <c r="C905" i="1"/>
  <c r="T904" i="1"/>
  <c r="S904" i="1"/>
  <c r="R904" i="1"/>
  <c r="C904" i="1"/>
  <c r="T903" i="1"/>
  <c r="S903" i="1"/>
  <c r="R903" i="1"/>
  <c r="C903" i="1"/>
  <c r="T902" i="1"/>
  <c r="S902" i="1"/>
  <c r="R902" i="1"/>
  <c r="C902" i="1"/>
  <c r="T901" i="1"/>
  <c r="S901" i="1"/>
  <c r="R901" i="1"/>
  <c r="C901" i="1"/>
  <c r="T900" i="1"/>
  <c r="S900" i="1"/>
  <c r="R900" i="1"/>
  <c r="C900" i="1"/>
  <c r="T899" i="1"/>
  <c r="S899" i="1"/>
  <c r="R899" i="1"/>
  <c r="C899" i="1"/>
  <c r="T898" i="1"/>
  <c r="S898" i="1"/>
  <c r="R898" i="1"/>
  <c r="C898" i="1"/>
  <c r="T897" i="1"/>
  <c r="S897" i="1"/>
  <c r="R897" i="1"/>
  <c r="C897" i="1"/>
  <c r="T896" i="1"/>
  <c r="S896" i="1"/>
  <c r="R896" i="1"/>
  <c r="C896" i="1"/>
  <c r="T895" i="1"/>
  <c r="S895" i="1"/>
  <c r="R895" i="1"/>
  <c r="C895" i="1"/>
  <c r="T894" i="1"/>
  <c r="S894" i="1"/>
  <c r="R894" i="1"/>
  <c r="C894" i="1"/>
  <c r="T893" i="1"/>
  <c r="S893" i="1"/>
  <c r="R893" i="1"/>
  <c r="C893" i="1"/>
  <c r="T892" i="1"/>
  <c r="S892" i="1"/>
  <c r="R892" i="1"/>
  <c r="C892" i="1"/>
  <c r="T891" i="1"/>
  <c r="S891" i="1"/>
  <c r="R891" i="1"/>
  <c r="C891" i="1"/>
  <c r="T890" i="1"/>
  <c r="S890" i="1"/>
  <c r="R890" i="1"/>
  <c r="C890" i="1"/>
  <c r="T889" i="1"/>
  <c r="S889" i="1"/>
  <c r="R889" i="1"/>
  <c r="C889" i="1"/>
  <c r="T888" i="1"/>
  <c r="S888" i="1"/>
  <c r="R888" i="1"/>
  <c r="C888" i="1"/>
  <c r="T887" i="1"/>
  <c r="S887" i="1"/>
  <c r="R887" i="1"/>
  <c r="C887" i="1"/>
  <c r="T886" i="1"/>
  <c r="S886" i="1"/>
  <c r="R886" i="1"/>
  <c r="C886" i="1"/>
  <c r="T885" i="1"/>
  <c r="S885" i="1"/>
  <c r="R885" i="1"/>
  <c r="C885" i="1"/>
  <c r="T884" i="1"/>
  <c r="S884" i="1"/>
  <c r="R884" i="1"/>
  <c r="C884" i="1"/>
  <c r="T883" i="1"/>
  <c r="S883" i="1"/>
  <c r="R883" i="1"/>
  <c r="C883" i="1"/>
  <c r="T882" i="1"/>
  <c r="S882" i="1"/>
  <c r="R882" i="1"/>
  <c r="C882" i="1"/>
  <c r="T881" i="1"/>
  <c r="S881" i="1"/>
  <c r="R881" i="1"/>
  <c r="C881" i="1"/>
  <c r="T880" i="1"/>
  <c r="S880" i="1"/>
  <c r="R880" i="1"/>
  <c r="C880" i="1"/>
  <c r="T879" i="1"/>
  <c r="S879" i="1"/>
  <c r="R879" i="1"/>
  <c r="C879" i="1"/>
  <c r="T878" i="1"/>
  <c r="S878" i="1"/>
  <c r="R878" i="1"/>
  <c r="C878" i="1"/>
  <c r="T877" i="1"/>
  <c r="S877" i="1"/>
  <c r="R877" i="1"/>
  <c r="C877" i="1"/>
  <c r="T876" i="1"/>
  <c r="S876" i="1"/>
  <c r="R876" i="1"/>
  <c r="C876" i="1"/>
  <c r="T875" i="1"/>
  <c r="S875" i="1"/>
  <c r="R875" i="1"/>
  <c r="C875" i="1"/>
  <c r="T874" i="1"/>
  <c r="S874" i="1"/>
  <c r="R874" i="1"/>
  <c r="C874" i="1"/>
  <c r="T873" i="1"/>
  <c r="S873" i="1"/>
  <c r="R873" i="1"/>
  <c r="C873" i="1"/>
  <c r="T872" i="1"/>
  <c r="S872" i="1"/>
  <c r="R872" i="1"/>
  <c r="C872" i="1"/>
  <c r="T871" i="1"/>
  <c r="S871" i="1"/>
  <c r="R871" i="1"/>
  <c r="C871" i="1"/>
  <c r="T870" i="1"/>
  <c r="S870" i="1"/>
  <c r="R870" i="1"/>
  <c r="C870" i="1"/>
  <c r="T869" i="1"/>
  <c r="S869" i="1"/>
  <c r="R869" i="1"/>
  <c r="C869" i="1"/>
  <c r="T868" i="1"/>
  <c r="S868" i="1"/>
  <c r="R868" i="1"/>
  <c r="C868" i="1"/>
  <c r="T867" i="1"/>
  <c r="S867" i="1"/>
  <c r="R867" i="1"/>
  <c r="C867" i="1"/>
  <c r="T866" i="1"/>
  <c r="S866" i="1"/>
  <c r="R866" i="1"/>
  <c r="C866" i="1"/>
  <c r="T865" i="1"/>
  <c r="S865" i="1"/>
  <c r="R865" i="1"/>
  <c r="C865" i="1"/>
  <c r="T864" i="1"/>
  <c r="S864" i="1"/>
  <c r="R864" i="1"/>
  <c r="C864" i="1"/>
  <c r="T863" i="1"/>
  <c r="S863" i="1"/>
  <c r="R863" i="1"/>
  <c r="C863" i="1"/>
  <c r="T862" i="1"/>
  <c r="S862" i="1"/>
  <c r="R862" i="1"/>
  <c r="C862" i="1"/>
  <c r="T861" i="1"/>
  <c r="S861" i="1"/>
  <c r="R861" i="1"/>
  <c r="C861" i="1"/>
  <c r="T860" i="1"/>
  <c r="S860" i="1"/>
  <c r="R860" i="1"/>
  <c r="C860" i="1"/>
  <c r="T859" i="1"/>
  <c r="S859" i="1"/>
  <c r="R859" i="1"/>
  <c r="C859" i="1"/>
  <c r="T858" i="1"/>
  <c r="S858" i="1"/>
  <c r="R858" i="1"/>
  <c r="C858" i="1"/>
  <c r="T857" i="1"/>
  <c r="S857" i="1"/>
  <c r="R857" i="1"/>
  <c r="C857" i="1"/>
  <c r="T856" i="1"/>
  <c r="S856" i="1"/>
  <c r="R856" i="1"/>
  <c r="C856" i="1"/>
  <c r="T855" i="1"/>
  <c r="S855" i="1"/>
  <c r="R855" i="1"/>
  <c r="C855" i="1"/>
  <c r="T854" i="1"/>
  <c r="S854" i="1"/>
  <c r="R854" i="1"/>
  <c r="C854" i="1"/>
  <c r="T853" i="1"/>
  <c r="S853" i="1"/>
  <c r="R853" i="1"/>
  <c r="C853" i="1"/>
  <c r="T852" i="1"/>
  <c r="S852" i="1"/>
  <c r="R852" i="1"/>
  <c r="C852" i="1"/>
  <c r="T851" i="1"/>
  <c r="S851" i="1"/>
  <c r="R851" i="1"/>
  <c r="C851" i="1"/>
  <c r="T850" i="1"/>
  <c r="S850" i="1"/>
  <c r="R850" i="1"/>
  <c r="C850" i="1"/>
  <c r="T849" i="1"/>
  <c r="S849" i="1"/>
  <c r="R849" i="1"/>
  <c r="C849" i="1"/>
  <c r="T848" i="1"/>
  <c r="S848" i="1"/>
  <c r="R848" i="1"/>
  <c r="C848" i="1"/>
  <c r="T847" i="1"/>
  <c r="S847" i="1"/>
  <c r="R847" i="1"/>
  <c r="C847" i="1"/>
  <c r="T846" i="1"/>
  <c r="S846" i="1"/>
  <c r="R846" i="1"/>
  <c r="C846" i="1"/>
  <c r="T845" i="1"/>
  <c r="S845" i="1"/>
  <c r="R845" i="1"/>
  <c r="C845" i="1"/>
  <c r="T844" i="1"/>
  <c r="S844" i="1"/>
  <c r="R844" i="1"/>
  <c r="C844" i="1"/>
  <c r="T843" i="1"/>
  <c r="S843" i="1"/>
  <c r="R843" i="1"/>
  <c r="C843" i="1"/>
  <c r="T842" i="1"/>
  <c r="S842" i="1"/>
  <c r="R842" i="1"/>
  <c r="C842" i="1"/>
  <c r="T841" i="1"/>
  <c r="S841" i="1"/>
  <c r="R841" i="1"/>
  <c r="C841" i="1"/>
  <c r="T840" i="1"/>
  <c r="S840" i="1"/>
  <c r="R840" i="1"/>
  <c r="C840" i="1"/>
  <c r="T839" i="1"/>
  <c r="S839" i="1"/>
  <c r="R839" i="1"/>
  <c r="C839" i="1"/>
  <c r="T838" i="1"/>
  <c r="S838" i="1"/>
  <c r="R838" i="1"/>
  <c r="C838" i="1"/>
  <c r="T837" i="1"/>
  <c r="S837" i="1"/>
  <c r="R837" i="1"/>
  <c r="C837" i="1"/>
  <c r="T836" i="1"/>
  <c r="S836" i="1"/>
  <c r="R836" i="1"/>
  <c r="C836" i="1"/>
  <c r="T835" i="1"/>
  <c r="S835" i="1"/>
  <c r="R835" i="1"/>
  <c r="C835" i="1"/>
  <c r="T834" i="1"/>
  <c r="S834" i="1"/>
  <c r="R834" i="1"/>
  <c r="C834" i="1"/>
  <c r="T833" i="1"/>
  <c r="S833" i="1"/>
  <c r="R833" i="1"/>
  <c r="C833" i="1"/>
  <c r="T832" i="1"/>
  <c r="S832" i="1"/>
  <c r="R832" i="1"/>
  <c r="C832" i="1"/>
  <c r="T831" i="1"/>
  <c r="S831" i="1"/>
  <c r="R831" i="1"/>
  <c r="C831" i="1"/>
  <c r="T830" i="1"/>
  <c r="S830" i="1"/>
  <c r="R830" i="1"/>
  <c r="C830" i="1"/>
  <c r="T829" i="1"/>
  <c r="S829" i="1"/>
  <c r="R829" i="1"/>
  <c r="C829" i="1"/>
  <c r="T828" i="1"/>
  <c r="S828" i="1"/>
  <c r="R828" i="1"/>
  <c r="C828" i="1"/>
  <c r="T827" i="1"/>
  <c r="S827" i="1"/>
  <c r="R827" i="1"/>
  <c r="C827" i="1"/>
  <c r="T826" i="1"/>
  <c r="S826" i="1"/>
  <c r="R826" i="1"/>
  <c r="C826" i="1"/>
  <c r="T825" i="1"/>
  <c r="S825" i="1"/>
  <c r="R825" i="1"/>
  <c r="C825" i="1"/>
  <c r="T824" i="1"/>
  <c r="S824" i="1"/>
  <c r="R824" i="1"/>
  <c r="C824" i="1"/>
  <c r="T823" i="1"/>
  <c r="S823" i="1"/>
  <c r="R823" i="1"/>
  <c r="C823" i="1"/>
  <c r="T822" i="1"/>
  <c r="S822" i="1"/>
  <c r="R822" i="1"/>
  <c r="C822" i="1"/>
  <c r="T821" i="1"/>
  <c r="S821" i="1"/>
  <c r="R821" i="1"/>
  <c r="C821" i="1"/>
  <c r="T820" i="1"/>
  <c r="S820" i="1"/>
  <c r="R820" i="1"/>
  <c r="C820" i="1"/>
  <c r="T819" i="1"/>
  <c r="S819" i="1"/>
  <c r="R819" i="1"/>
  <c r="C819" i="1"/>
  <c r="T818" i="1"/>
  <c r="S818" i="1"/>
  <c r="R818" i="1"/>
  <c r="C818" i="1"/>
  <c r="T817" i="1"/>
  <c r="S817" i="1"/>
  <c r="R817" i="1"/>
  <c r="C817" i="1"/>
  <c r="T816" i="1"/>
  <c r="S816" i="1"/>
  <c r="R816" i="1"/>
  <c r="C816" i="1"/>
  <c r="T815" i="1"/>
  <c r="S815" i="1"/>
  <c r="R815" i="1"/>
  <c r="C815" i="1"/>
  <c r="T814" i="1"/>
  <c r="S814" i="1"/>
  <c r="R814" i="1"/>
  <c r="C814" i="1"/>
  <c r="T813" i="1"/>
  <c r="S813" i="1"/>
  <c r="R813" i="1"/>
  <c r="C813" i="1"/>
  <c r="T812" i="1"/>
  <c r="S812" i="1"/>
  <c r="R812" i="1"/>
  <c r="C812" i="1"/>
  <c r="T811" i="1"/>
  <c r="S811" i="1"/>
  <c r="R811" i="1"/>
  <c r="C811" i="1"/>
  <c r="T810" i="1"/>
  <c r="S810" i="1"/>
  <c r="R810" i="1"/>
  <c r="C810" i="1"/>
  <c r="T809" i="1"/>
  <c r="S809" i="1"/>
  <c r="R809" i="1"/>
  <c r="C809" i="1"/>
  <c r="T808" i="1"/>
  <c r="S808" i="1"/>
  <c r="R808" i="1"/>
  <c r="C808" i="1"/>
  <c r="T807" i="1"/>
  <c r="S807" i="1"/>
  <c r="R807" i="1"/>
  <c r="C807" i="1"/>
  <c r="T806" i="1"/>
  <c r="S806" i="1"/>
  <c r="R806" i="1"/>
  <c r="C806" i="1"/>
  <c r="T805" i="1"/>
  <c r="S805" i="1"/>
  <c r="R805" i="1"/>
  <c r="C805" i="1"/>
  <c r="T804" i="1"/>
  <c r="S804" i="1"/>
  <c r="R804" i="1"/>
  <c r="C804" i="1"/>
  <c r="T803" i="1"/>
  <c r="S803" i="1"/>
  <c r="R803" i="1"/>
  <c r="C803" i="1"/>
  <c r="T802" i="1"/>
  <c r="S802" i="1"/>
  <c r="R802" i="1"/>
  <c r="C802" i="1"/>
  <c r="T801" i="1"/>
  <c r="S801" i="1"/>
  <c r="R801" i="1"/>
  <c r="C801" i="1"/>
  <c r="T800" i="1"/>
  <c r="S800" i="1"/>
  <c r="R800" i="1"/>
  <c r="C800" i="1"/>
  <c r="T799" i="1"/>
  <c r="S799" i="1"/>
  <c r="R799" i="1"/>
  <c r="C799" i="1"/>
  <c r="T798" i="1"/>
  <c r="S798" i="1"/>
  <c r="R798" i="1"/>
  <c r="C798" i="1"/>
  <c r="T797" i="1"/>
  <c r="S797" i="1"/>
  <c r="R797" i="1"/>
  <c r="C797" i="1"/>
  <c r="T796" i="1"/>
  <c r="S796" i="1"/>
  <c r="R796" i="1"/>
  <c r="C796" i="1"/>
  <c r="T795" i="1"/>
  <c r="S795" i="1"/>
  <c r="R795" i="1"/>
  <c r="C795" i="1"/>
  <c r="T794" i="1"/>
  <c r="S794" i="1"/>
  <c r="R794" i="1"/>
  <c r="C794" i="1"/>
  <c r="T793" i="1"/>
  <c r="S793" i="1"/>
  <c r="R793" i="1"/>
  <c r="C793" i="1"/>
  <c r="T792" i="1"/>
  <c r="S792" i="1"/>
  <c r="R792" i="1"/>
  <c r="C792" i="1"/>
  <c r="T791" i="1"/>
  <c r="S791" i="1"/>
  <c r="R791" i="1"/>
  <c r="C791" i="1"/>
  <c r="T790" i="1"/>
  <c r="S790" i="1"/>
  <c r="R790" i="1"/>
  <c r="C790" i="1"/>
  <c r="T789" i="1"/>
  <c r="S789" i="1"/>
  <c r="R789" i="1"/>
  <c r="C789" i="1"/>
  <c r="T788" i="1"/>
  <c r="S788" i="1"/>
  <c r="R788" i="1"/>
  <c r="C788" i="1"/>
  <c r="T787" i="1"/>
  <c r="S787" i="1"/>
  <c r="R787" i="1"/>
  <c r="C787" i="1"/>
  <c r="T786" i="1"/>
  <c r="S786" i="1"/>
  <c r="R786" i="1"/>
  <c r="C786" i="1"/>
  <c r="T785" i="1"/>
  <c r="S785" i="1"/>
  <c r="R785" i="1"/>
  <c r="C785" i="1"/>
  <c r="T784" i="1"/>
  <c r="S784" i="1"/>
  <c r="R784" i="1"/>
  <c r="C784" i="1"/>
  <c r="T783" i="1"/>
  <c r="S783" i="1"/>
  <c r="R783" i="1"/>
  <c r="C783" i="1"/>
  <c r="T782" i="1"/>
  <c r="S782" i="1"/>
  <c r="R782" i="1"/>
  <c r="C782" i="1"/>
  <c r="T781" i="1"/>
  <c r="S781" i="1"/>
  <c r="R781" i="1"/>
  <c r="C781" i="1"/>
  <c r="T780" i="1"/>
  <c r="S780" i="1"/>
  <c r="R780" i="1"/>
  <c r="C780" i="1"/>
  <c r="T779" i="1"/>
  <c r="S779" i="1"/>
  <c r="R779" i="1"/>
  <c r="C779" i="1"/>
  <c r="T778" i="1"/>
  <c r="S778" i="1"/>
  <c r="R778" i="1"/>
  <c r="C778" i="1"/>
  <c r="T777" i="1"/>
  <c r="S777" i="1"/>
  <c r="R777" i="1"/>
  <c r="C777" i="1"/>
  <c r="T776" i="1"/>
  <c r="S776" i="1"/>
  <c r="R776" i="1"/>
  <c r="C776" i="1"/>
  <c r="T775" i="1"/>
  <c r="S775" i="1"/>
  <c r="R775" i="1"/>
  <c r="C775" i="1"/>
  <c r="T774" i="1"/>
  <c r="R774" i="1"/>
  <c r="C774" i="1"/>
  <c r="T773" i="1"/>
  <c r="S773" i="1"/>
  <c r="R773" i="1"/>
  <c r="C773" i="1"/>
  <c r="T772" i="1"/>
  <c r="S772" i="1"/>
  <c r="R772" i="1"/>
  <c r="C772" i="1"/>
  <c r="T771" i="1"/>
  <c r="S771" i="1"/>
  <c r="R771" i="1"/>
  <c r="C771" i="1"/>
  <c r="T770" i="1"/>
  <c r="S770" i="1"/>
  <c r="R770" i="1"/>
  <c r="C770" i="1"/>
  <c r="T769" i="1"/>
  <c r="S769" i="1"/>
  <c r="R769" i="1"/>
  <c r="C769" i="1"/>
  <c r="T768" i="1"/>
  <c r="S768" i="1"/>
  <c r="R768" i="1"/>
  <c r="C768" i="1"/>
  <c r="T767" i="1"/>
  <c r="S767" i="1"/>
  <c r="R767" i="1"/>
  <c r="C767" i="1"/>
  <c r="T766" i="1"/>
  <c r="S766" i="1"/>
  <c r="R766" i="1"/>
  <c r="C766" i="1"/>
  <c r="T765" i="1"/>
  <c r="S765" i="1"/>
  <c r="R765" i="1"/>
  <c r="C765" i="1"/>
  <c r="T764" i="1"/>
  <c r="S764" i="1"/>
  <c r="R764" i="1"/>
  <c r="C764" i="1"/>
  <c r="T763" i="1"/>
  <c r="S763" i="1"/>
  <c r="R763" i="1"/>
  <c r="C763" i="1"/>
  <c r="T762" i="1"/>
  <c r="S762" i="1"/>
  <c r="R762" i="1"/>
  <c r="C762" i="1"/>
  <c r="T761" i="1"/>
  <c r="S761" i="1"/>
  <c r="R761" i="1"/>
  <c r="C761" i="1"/>
  <c r="T760" i="1"/>
  <c r="S760" i="1"/>
  <c r="R760" i="1"/>
  <c r="C760" i="1"/>
  <c r="T759" i="1"/>
  <c r="S759" i="1"/>
  <c r="R759" i="1"/>
  <c r="C759" i="1"/>
  <c r="T758" i="1"/>
  <c r="S758" i="1"/>
  <c r="R758" i="1"/>
  <c r="C758" i="1"/>
  <c r="T757" i="1"/>
  <c r="S757" i="1"/>
  <c r="R757" i="1"/>
  <c r="C757" i="1"/>
  <c r="T756" i="1"/>
  <c r="S756" i="1"/>
  <c r="R756" i="1"/>
  <c r="C756" i="1"/>
  <c r="T755" i="1"/>
  <c r="S755" i="1"/>
  <c r="R755" i="1"/>
  <c r="C755" i="1"/>
  <c r="T754" i="1"/>
  <c r="S754" i="1"/>
  <c r="R754" i="1"/>
  <c r="C754" i="1"/>
  <c r="T753" i="1"/>
  <c r="S753" i="1"/>
  <c r="R753" i="1"/>
  <c r="C753" i="1"/>
  <c r="T752" i="1"/>
  <c r="S752" i="1"/>
  <c r="R752" i="1"/>
  <c r="C752" i="1"/>
  <c r="T751" i="1"/>
  <c r="S751" i="1"/>
  <c r="R751" i="1"/>
  <c r="C751" i="1"/>
  <c r="T750" i="1"/>
  <c r="S750" i="1"/>
  <c r="R750" i="1"/>
  <c r="C750" i="1"/>
  <c r="T749" i="1"/>
  <c r="S749" i="1"/>
  <c r="R749" i="1"/>
  <c r="C749" i="1"/>
  <c r="T748" i="1"/>
  <c r="S748" i="1"/>
  <c r="R748" i="1"/>
  <c r="C748" i="1"/>
  <c r="T747" i="1"/>
  <c r="S747" i="1"/>
  <c r="R747" i="1"/>
  <c r="C747" i="1"/>
  <c r="T746" i="1"/>
  <c r="S746" i="1"/>
  <c r="R746" i="1"/>
  <c r="C746" i="1"/>
  <c r="T745" i="1"/>
  <c r="S745" i="1"/>
  <c r="R745" i="1"/>
  <c r="C745" i="1"/>
  <c r="T744" i="1"/>
  <c r="S744" i="1"/>
  <c r="R744" i="1"/>
  <c r="C744" i="1"/>
  <c r="T743" i="1"/>
  <c r="S743" i="1"/>
  <c r="R743" i="1"/>
  <c r="C743" i="1"/>
  <c r="T742" i="1"/>
  <c r="S742" i="1"/>
  <c r="R742" i="1"/>
  <c r="C742" i="1"/>
  <c r="T741" i="1"/>
  <c r="S741" i="1"/>
  <c r="R741" i="1"/>
  <c r="C741" i="1"/>
  <c r="T740" i="1"/>
  <c r="S740" i="1"/>
  <c r="R740" i="1"/>
  <c r="C740" i="1"/>
  <c r="T739" i="1"/>
  <c r="S739" i="1"/>
  <c r="R739" i="1"/>
  <c r="C739" i="1"/>
  <c r="T738" i="1"/>
  <c r="S738" i="1"/>
  <c r="R738" i="1"/>
  <c r="C738" i="1"/>
  <c r="T737" i="1"/>
  <c r="S737" i="1"/>
  <c r="R737" i="1"/>
  <c r="C737" i="1"/>
  <c r="T736" i="1"/>
  <c r="S736" i="1"/>
  <c r="R736" i="1"/>
  <c r="C736" i="1"/>
  <c r="T735" i="1"/>
  <c r="S735" i="1"/>
  <c r="R735" i="1"/>
  <c r="C735" i="1"/>
  <c r="T734" i="1"/>
  <c r="S734" i="1"/>
  <c r="R734" i="1"/>
  <c r="C734" i="1"/>
  <c r="T733" i="1"/>
  <c r="S733" i="1"/>
  <c r="R733" i="1"/>
  <c r="C733" i="1"/>
  <c r="T732" i="1"/>
  <c r="S732" i="1"/>
  <c r="R732" i="1"/>
  <c r="C732" i="1"/>
  <c r="T731" i="1"/>
  <c r="S731" i="1"/>
  <c r="R731" i="1"/>
  <c r="C731" i="1"/>
  <c r="T730" i="1"/>
  <c r="S730" i="1"/>
  <c r="R730" i="1"/>
  <c r="C730" i="1"/>
  <c r="T729" i="1"/>
  <c r="S729" i="1"/>
  <c r="R729" i="1"/>
  <c r="C729" i="1"/>
  <c r="T728" i="1"/>
  <c r="S728" i="1"/>
  <c r="R728" i="1"/>
  <c r="C728" i="1"/>
  <c r="T727" i="1"/>
  <c r="S727" i="1"/>
  <c r="R727" i="1"/>
  <c r="C727" i="1"/>
  <c r="T726" i="1"/>
  <c r="S726" i="1"/>
  <c r="R726" i="1"/>
  <c r="C726" i="1"/>
  <c r="T725" i="1"/>
  <c r="S725" i="1"/>
  <c r="R725" i="1"/>
  <c r="C725" i="1"/>
  <c r="T724" i="1"/>
  <c r="S724" i="1"/>
  <c r="R724" i="1"/>
  <c r="C724" i="1"/>
  <c r="T723" i="1"/>
  <c r="S723" i="1"/>
  <c r="R723" i="1"/>
  <c r="C723" i="1"/>
  <c r="T722" i="1"/>
  <c r="S722" i="1"/>
  <c r="R722" i="1"/>
  <c r="C722" i="1"/>
  <c r="T721" i="1"/>
  <c r="S721" i="1"/>
  <c r="R721" i="1"/>
  <c r="C721" i="1"/>
  <c r="T720" i="1"/>
  <c r="S720" i="1"/>
  <c r="R720" i="1"/>
  <c r="C720" i="1"/>
  <c r="T719" i="1"/>
  <c r="S719" i="1"/>
  <c r="R719" i="1"/>
  <c r="C719" i="1"/>
  <c r="T718" i="1"/>
  <c r="S718" i="1"/>
  <c r="R718" i="1"/>
  <c r="C718" i="1"/>
  <c r="T717" i="1"/>
  <c r="S717" i="1"/>
  <c r="R717" i="1"/>
  <c r="C717" i="1"/>
  <c r="T716" i="1"/>
  <c r="S716" i="1"/>
  <c r="R716" i="1"/>
  <c r="C716" i="1"/>
  <c r="T715" i="1"/>
  <c r="S715" i="1"/>
  <c r="R715" i="1"/>
  <c r="C715" i="1"/>
  <c r="T714" i="1"/>
  <c r="S714" i="1"/>
  <c r="R714" i="1"/>
  <c r="C714" i="1"/>
  <c r="T713" i="1"/>
  <c r="S713" i="1"/>
  <c r="R713" i="1"/>
  <c r="C713" i="1"/>
  <c r="T712" i="1"/>
  <c r="S712" i="1"/>
  <c r="R712" i="1"/>
  <c r="C712" i="1"/>
  <c r="T711" i="1"/>
  <c r="S711" i="1"/>
  <c r="R711" i="1"/>
  <c r="C711" i="1"/>
  <c r="T710" i="1"/>
  <c r="S710" i="1"/>
  <c r="R710" i="1"/>
  <c r="C710" i="1"/>
  <c r="T709" i="1"/>
  <c r="S709" i="1"/>
  <c r="R709" i="1"/>
  <c r="C709" i="1"/>
  <c r="T708" i="1"/>
  <c r="S708" i="1"/>
  <c r="R708" i="1"/>
  <c r="C708" i="1"/>
  <c r="T707" i="1"/>
  <c r="S707" i="1"/>
  <c r="R707" i="1"/>
  <c r="C707" i="1"/>
  <c r="T706" i="1"/>
  <c r="S706" i="1"/>
  <c r="R706" i="1"/>
  <c r="C706" i="1"/>
  <c r="T705" i="1"/>
  <c r="S705" i="1"/>
  <c r="R705" i="1"/>
  <c r="C705" i="1"/>
  <c r="T704" i="1"/>
  <c r="S704" i="1"/>
  <c r="R704" i="1"/>
  <c r="C704" i="1"/>
  <c r="T703" i="1"/>
  <c r="S703" i="1"/>
  <c r="R703" i="1"/>
  <c r="C703" i="1"/>
  <c r="T702" i="1"/>
  <c r="S702" i="1"/>
  <c r="R702" i="1"/>
  <c r="C702" i="1"/>
  <c r="T701" i="1"/>
  <c r="S701" i="1"/>
  <c r="R701" i="1"/>
  <c r="C701" i="1"/>
  <c r="T700" i="1"/>
  <c r="S700" i="1"/>
  <c r="R700" i="1"/>
  <c r="C700" i="1"/>
  <c r="T699" i="1"/>
  <c r="S699" i="1"/>
  <c r="R699" i="1"/>
  <c r="C699" i="1"/>
  <c r="T698" i="1"/>
  <c r="S698" i="1"/>
  <c r="R698" i="1"/>
  <c r="C698" i="1"/>
  <c r="T697" i="1"/>
  <c r="S697" i="1"/>
  <c r="R697" i="1"/>
  <c r="C697" i="1"/>
  <c r="T696" i="1"/>
  <c r="S696" i="1"/>
  <c r="R696" i="1"/>
  <c r="C696" i="1"/>
  <c r="T695" i="1"/>
  <c r="S695" i="1"/>
  <c r="R695" i="1"/>
  <c r="C695" i="1"/>
  <c r="T694" i="1"/>
  <c r="S694" i="1"/>
  <c r="R694" i="1"/>
  <c r="C694" i="1"/>
  <c r="T693" i="1"/>
  <c r="S693" i="1"/>
  <c r="R693" i="1"/>
  <c r="C693" i="1"/>
  <c r="T692" i="1"/>
  <c r="S692" i="1"/>
  <c r="R692" i="1"/>
  <c r="C692" i="1"/>
  <c r="T691" i="1"/>
  <c r="S691" i="1"/>
  <c r="R691" i="1"/>
  <c r="C691" i="1"/>
  <c r="T690" i="1"/>
  <c r="S690" i="1"/>
  <c r="R690" i="1"/>
  <c r="C690" i="1"/>
  <c r="T689" i="1"/>
  <c r="S689" i="1"/>
  <c r="R689" i="1"/>
  <c r="C689" i="1"/>
  <c r="T688" i="1"/>
  <c r="S688" i="1"/>
  <c r="R688" i="1"/>
  <c r="C688" i="1"/>
  <c r="T687" i="1"/>
  <c r="S687" i="1"/>
  <c r="R687" i="1"/>
  <c r="C687" i="1"/>
  <c r="T686" i="1"/>
  <c r="S686" i="1"/>
  <c r="R686" i="1"/>
  <c r="C686" i="1"/>
  <c r="T685" i="1"/>
  <c r="S685" i="1"/>
  <c r="R685" i="1"/>
  <c r="C685" i="1"/>
  <c r="T684" i="1"/>
  <c r="S684" i="1"/>
  <c r="R684" i="1"/>
  <c r="C684" i="1"/>
  <c r="T683" i="1"/>
  <c r="S683" i="1"/>
  <c r="R683" i="1"/>
  <c r="C683" i="1"/>
  <c r="T682" i="1"/>
  <c r="S682" i="1"/>
  <c r="R682" i="1"/>
  <c r="C682" i="1"/>
  <c r="T681" i="1"/>
  <c r="S681" i="1"/>
  <c r="R681" i="1"/>
  <c r="C681" i="1"/>
  <c r="T680" i="1"/>
  <c r="S680" i="1"/>
  <c r="R680" i="1"/>
  <c r="C680" i="1"/>
  <c r="T679" i="1"/>
  <c r="S679" i="1"/>
  <c r="R679" i="1"/>
  <c r="C679" i="1"/>
  <c r="T678" i="1"/>
  <c r="S678" i="1"/>
  <c r="R678" i="1"/>
  <c r="C678" i="1"/>
  <c r="T677" i="1"/>
  <c r="S677" i="1"/>
  <c r="R677" i="1"/>
  <c r="C677" i="1"/>
  <c r="T676" i="1"/>
  <c r="S676" i="1"/>
  <c r="R676" i="1"/>
  <c r="C676" i="1"/>
  <c r="T675" i="1"/>
  <c r="S675" i="1"/>
  <c r="R675" i="1"/>
  <c r="C675" i="1"/>
  <c r="T674" i="1"/>
  <c r="S674" i="1"/>
  <c r="R674" i="1"/>
  <c r="C674" i="1"/>
  <c r="T673" i="1"/>
  <c r="S673" i="1"/>
  <c r="R673" i="1"/>
  <c r="C673" i="1"/>
  <c r="T672" i="1"/>
  <c r="S672" i="1"/>
  <c r="R672" i="1"/>
  <c r="C672" i="1"/>
  <c r="T671" i="1"/>
  <c r="S671" i="1"/>
  <c r="R671" i="1"/>
  <c r="C671" i="1"/>
  <c r="T670" i="1"/>
  <c r="S670" i="1"/>
  <c r="R670" i="1"/>
  <c r="C670" i="1"/>
  <c r="T669" i="1"/>
  <c r="S669" i="1"/>
  <c r="R669" i="1"/>
  <c r="C669" i="1"/>
  <c r="T668" i="1"/>
  <c r="S668" i="1"/>
  <c r="R668" i="1"/>
  <c r="C668" i="1"/>
  <c r="T667" i="1"/>
  <c r="S667" i="1"/>
  <c r="R667" i="1"/>
  <c r="C667" i="1"/>
  <c r="T666" i="1"/>
  <c r="S666" i="1"/>
  <c r="R666" i="1"/>
  <c r="C666" i="1"/>
  <c r="T665" i="1"/>
  <c r="S665" i="1"/>
  <c r="R665" i="1"/>
  <c r="C665" i="1"/>
  <c r="T664" i="1"/>
  <c r="S664" i="1"/>
  <c r="R664" i="1"/>
  <c r="C664" i="1"/>
  <c r="T663" i="1"/>
  <c r="S663" i="1"/>
  <c r="R663" i="1"/>
  <c r="C663" i="1"/>
  <c r="T662" i="1"/>
  <c r="S662" i="1"/>
  <c r="R662" i="1"/>
  <c r="C662" i="1"/>
  <c r="T661" i="1"/>
  <c r="S661" i="1"/>
  <c r="R661" i="1"/>
  <c r="C661" i="1"/>
  <c r="T660" i="1"/>
  <c r="S660" i="1"/>
  <c r="R660" i="1"/>
  <c r="C660" i="1"/>
  <c r="T659" i="1"/>
  <c r="S659" i="1"/>
  <c r="R659" i="1"/>
  <c r="C659" i="1"/>
  <c r="T658" i="1"/>
  <c r="S658" i="1"/>
  <c r="R658" i="1"/>
  <c r="C658" i="1"/>
  <c r="T657" i="1"/>
  <c r="S657" i="1"/>
  <c r="R657" i="1"/>
  <c r="C657" i="1"/>
  <c r="T656" i="1"/>
  <c r="S656" i="1"/>
  <c r="R656" i="1"/>
  <c r="C656" i="1"/>
  <c r="T655" i="1"/>
  <c r="S655" i="1"/>
  <c r="R655" i="1"/>
  <c r="C655" i="1"/>
  <c r="T654" i="1"/>
  <c r="S654" i="1"/>
  <c r="R654" i="1"/>
  <c r="C654" i="1"/>
  <c r="T653" i="1"/>
  <c r="S653" i="1"/>
  <c r="R653" i="1"/>
  <c r="C653" i="1"/>
  <c r="T652" i="1"/>
  <c r="S652" i="1"/>
  <c r="R652" i="1"/>
  <c r="C652" i="1"/>
  <c r="T651" i="1"/>
  <c r="S651" i="1"/>
  <c r="R651" i="1"/>
  <c r="C651" i="1"/>
  <c r="T650" i="1"/>
  <c r="S650" i="1"/>
  <c r="R650" i="1"/>
  <c r="C650" i="1"/>
  <c r="T649" i="1"/>
  <c r="S649" i="1"/>
  <c r="R649" i="1"/>
  <c r="C649" i="1"/>
  <c r="T648" i="1"/>
  <c r="S648" i="1"/>
  <c r="R648" i="1"/>
  <c r="C648" i="1"/>
  <c r="T647" i="1"/>
  <c r="S647" i="1"/>
  <c r="R647" i="1"/>
  <c r="C647" i="1"/>
  <c r="T646" i="1"/>
  <c r="S646" i="1"/>
  <c r="R646" i="1"/>
  <c r="C646" i="1"/>
  <c r="T645" i="1"/>
  <c r="S645" i="1"/>
  <c r="R645" i="1"/>
  <c r="C645" i="1"/>
  <c r="T644" i="1"/>
  <c r="S644" i="1"/>
  <c r="R644" i="1"/>
  <c r="C644" i="1"/>
  <c r="T643" i="1"/>
  <c r="S643" i="1"/>
  <c r="R643" i="1"/>
  <c r="C643" i="1"/>
  <c r="T642" i="1"/>
  <c r="S642" i="1"/>
  <c r="R642" i="1"/>
  <c r="C642" i="1"/>
  <c r="T641" i="1"/>
  <c r="S641" i="1"/>
  <c r="R641" i="1"/>
  <c r="C641" i="1"/>
  <c r="T640" i="1"/>
  <c r="S640" i="1"/>
  <c r="R640" i="1"/>
  <c r="C640" i="1"/>
  <c r="T639" i="1"/>
  <c r="S639" i="1"/>
  <c r="R639" i="1"/>
  <c r="C639" i="1"/>
  <c r="T638" i="1"/>
  <c r="S638" i="1"/>
  <c r="R638" i="1"/>
  <c r="C638" i="1"/>
  <c r="T637" i="1"/>
  <c r="S637" i="1"/>
  <c r="R637" i="1"/>
  <c r="C637" i="1"/>
  <c r="T636" i="1"/>
  <c r="S636" i="1"/>
  <c r="R636" i="1"/>
  <c r="C636" i="1"/>
  <c r="T635" i="1"/>
  <c r="S635" i="1"/>
  <c r="R635" i="1"/>
  <c r="C635" i="1"/>
  <c r="T634" i="1"/>
  <c r="S634" i="1"/>
  <c r="R634" i="1"/>
  <c r="C634" i="1"/>
  <c r="T633" i="1"/>
  <c r="S633" i="1"/>
  <c r="R633" i="1"/>
  <c r="C633" i="1"/>
  <c r="T632" i="1"/>
  <c r="S632" i="1"/>
  <c r="R632" i="1"/>
  <c r="C632" i="1"/>
  <c r="T631" i="1"/>
  <c r="S631" i="1"/>
  <c r="R631" i="1"/>
  <c r="C631" i="1"/>
  <c r="T630" i="1"/>
  <c r="S630" i="1"/>
  <c r="R630" i="1"/>
  <c r="C630" i="1"/>
  <c r="T629" i="1"/>
  <c r="S629" i="1"/>
  <c r="R629" i="1"/>
  <c r="C629" i="1"/>
  <c r="T628" i="1"/>
  <c r="S628" i="1"/>
  <c r="R628" i="1"/>
  <c r="C628" i="1"/>
  <c r="T627" i="1"/>
  <c r="S627" i="1"/>
  <c r="R627" i="1"/>
  <c r="C627" i="1"/>
  <c r="T626" i="1"/>
  <c r="S626" i="1"/>
  <c r="R626" i="1"/>
  <c r="C626" i="1"/>
  <c r="T625" i="1"/>
  <c r="S625" i="1"/>
  <c r="R625" i="1"/>
  <c r="C625" i="1"/>
  <c r="T624" i="1"/>
  <c r="S624" i="1"/>
  <c r="R624" i="1"/>
  <c r="C624" i="1"/>
  <c r="T623" i="1"/>
  <c r="S623" i="1"/>
  <c r="R623" i="1"/>
  <c r="C623" i="1"/>
  <c r="T622" i="1"/>
  <c r="S622" i="1"/>
  <c r="R622" i="1"/>
  <c r="C622" i="1"/>
  <c r="T621" i="1"/>
  <c r="S621" i="1"/>
  <c r="R621" i="1"/>
  <c r="C621" i="1"/>
  <c r="T620" i="1"/>
  <c r="S620" i="1"/>
  <c r="R620" i="1"/>
  <c r="C620" i="1"/>
  <c r="T619" i="1"/>
  <c r="S619" i="1"/>
  <c r="R619" i="1"/>
  <c r="C619" i="1"/>
  <c r="T618" i="1"/>
  <c r="S618" i="1"/>
  <c r="R618" i="1"/>
  <c r="C618" i="1"/>
  <c r="T617" i="1"/>
  <c r="S617" i="1"/>
  <c r="R617" i="1"/>
  <c r="C617" i="1"/>
  <c r="T616" i="1"/>
  <c r="S616" i="1"/>
  <c r="R616" i="1"/>
  <c r="C616" i="1"/>
  <c r="T615" i="1"/>
  <c r="S615" i="1"/>
  <c r="R615" i="1"/>
  <c r="C615" i="1"/>
  <c r="T614" i="1"/>
  <c r="S614" i="1"/>
  <c r="R614" i="1"/>
  <c r="C614" i="1"/>
  <c r="T613" i="1"/>
  <c r="S613" i="1"/>
  <c r="R613" i="1"/>
  <c r="C613" i="1"/>
  <c r="T612" i="1"/>
  <c r="S612" i="1"/>
  <c r="R612" i="1"/>
  <c r="C612" i="1"/>
  <c r="T611" i="1"/>
  <c r="S611" i="1"/>
  <c r="R611" i="1"/>
  <c r="C611" i="1"/>
  <c r="T610" i="1"/>
  <c r="S610" i="1"/>
  <c r="R610" i="1"/>
  <c r="C610" i="1"/>
  <c r="T609" i="1"/>
  <c r="S609" i="1"/>
  <c r="R609" i="1"/>
  <c r="C609" i="1"/>
  <c r="T608" i="1"/>
  <c r="S608" i="1"/>
  <c r="R608" i="1"/>
  <c r="C608" i="1"/>
  <c r="T607" i="1"/>
  <c r="S607" i="1"/>
  <c r="R607" i="1"/>
  <c r="C607" i="1"/>
  <c r="T606" i="1"/>
  <c r="S606" i="1"/>
  <c r="R606" i="1"/>
  <c r="C606" i="1"/>
  <c r="T605" i="1"/>
  <c r="S605" i="1"/>
  <c r="R605" i="1"/>
  <c r="C605" i="1"/>
  <c r="T604" i="1"/>
  <c r="S604" i="1"/>
  <c r="R604" i="1"/>
  <c r="C604" i="1"/>
  <c r="T603" i="1"/>
  <c r="S603" i="1"/>
  <c r="R603" i="1"/>
  <c r="C603" i="1"/>
  <c r="T602" i="1"/>
  <c r="S602" i="1"/>
  <c r="R602" i="1"/>
  <c r="C602" i="1"/>
  <c r="T601" i="1"/>
  <c r="S601" i="1"/>
  <c r="R601" i="1"/>
  <c r="C601" i="1"/>
  <c r="T600" i="1"/>
  <c r="S600" i="1"/>
  <c r="R600" i="1"/>
  <c r="C600" i="1"/>
  <c r="T599" i="1"/>
  <c r="S599" i="1"/>
  <c r="R599" i="1"/>
  <c r="C599" i="1"/>
  <c r="T598" i="1"/>
  <c r="S598" i="1"/>
  <c r="R598" i="1"/>
  <c r="C598" i="1"/>
  <c r="T597" i="1"/>
  <c r="S597" i="1"/>
  <c r="R597" i="1"/>
  <c r="C597" i="1"/>
  <c r="T596" i="1"/>
  <c r="S596" i="1"/>
  <c r="R596" i="1"/>
  <c r="C596" i="1"/>
  <c r="T595" i="1"/>
  <c r="S595" i="1"/>
  <c r="R595" i="1"/>
  <c r="C595" i="1"/>
  <c r="T594" i="1"/>
  <c r="S594" i="1"/>
  <c r="R594" i="1"/>
  <c r="C594" i="1"/>
  <c r="T593" i="1"/>
  <c r="S593" i="1"/>
  <c r="R593" i="1"/>
  <c r="C593" i="1"/>
  <c r="T592" i="1"/>
  <c r="S592" i="1"/>
  <c r="R592" i="1"/>
  <c r="C592" i="1"/>
  <c r="T591" i="1"/>
  <c r="S591" i="1"/>
  <c r="R591" i="1"/>
  <c r="C591" i="1"/>
  <c r="T590" i="1"/>
  <c r="S590" i="1"/>
  <c r="R590" i="1"/>
  <c r="C590" i="1"/>
  <c r="T589" i="1"/>
  <c r="S589" i="1"/>
  <c r="R589" i="1"/>
  <c r="C589" i="1"/>
  <c r="T588" i="1"/>
  <c r="S588" i="1"/>
  <c r="R588" i="1"/>
  <c r="C588" i="1"/>
  <c r="T587" i="1"/>
  <c r="S587" i="1"/>
  <c r="R587" i="1"/>
  <c r="C587" i="1"/>
  <c r="T586" i="1"/>
  <c r="S586" i="1"/>
  <c r="R586" i="1"/>
  <c r="C586" i="1"/>
  <c r="T585" i="1"/>
  <c r="S585" i="1"/>
  <c r="R585" i="1"/>
  <c r="C585" i="1"/>
  <c r="T584" i="1"/>
  <c r="S584" i="1"/>
  <c r="R584" i="1"/>
  <c r="C584" i="1"/>
  <c r="T583" i="1"/>
  <c r="S583" i="1"/>
  <c r="R583" i="1"/>
  <c r="C583" i="1"/>
  <c r="T582" i="1"/>
  <c r="S582" i="1"/>
  <c r="R582" i="1"/>
  <c r="C582" i="1"/>
  <c r="T581" i="1"/>
  <c r="S581" i="1"/>
  <c r="R581" i="1"/>
  <c r="C581" i="1"/>
  <c r="T580" i="1"/>
  <c r="S580" i="1"/>
  <c r="R580" i="1"/>
  <c r="C580" i="1"/>
  <c r="T579" i="1"/>
  <c r="S579" i="1"/>
  <c r="R579" i="1"/>
  <c r="C579" i="1"/>
  <c r="T578" i="1"/>
  <c r="S578" i="1"/>
  <c r="R578" i="1"/>
  <c r="C578" i="1"/>
  <c r="T577" i="1"/>
  <c r="S577" i="1"/>
  <c r="R577" i="1"/>
  <c r="C577" i="1"/>
  <c r="T576" i="1"/>
  <c r="S576" i="1"/>
  <c r="R576" i="1"/>
  <c r="C576" i="1"/>
  <c r="T575" i="1"/>
  <c r="S575" i="1"/>
  <c r="R575" i="1"/>
  <c r="C575" i="1"/>
  <c r="T574" i="1"/>
  <c r="S574" i="1"/>
  <c r="R574" i="1"/>
  <c r="C574" i="1"/>
  <c r="T573" i="1"/>
  <c r="S573" i="1"/>
  <c r="R573" i="1"/>
  <c r="C573" i="1"/>
  <c r="T572" i="1"/>
  <c r="S572" i="1"/>
  <c r="R572" i="1"/>
  <c r="C572" i="1"/>
  <c r="T571" i="1"/>
  <c r="S571" i="1"/>
  <c r="R571" i="1"/>
  <c r="C571" i="1"/>
  <c r="T570" i="1"/>
  <c r="S570" i="1"/>
  <c r="R570" i="1"/>
  <c r="C570" i="1"/>
  <c r="T569" i="1"/>
  <c r="S569" i="1"/>
  <c r="R569" i="1"/>
  <c r="C569" i="1"/>
  <c r="T568" i="1"/>
  <c r="S568" i="1"/>
  <c r="R568" i="1"/>
  <c r="C568" i="1"/>
  <c r="T567" i="1"/>
  <c r="S567" i="1"/>
  <c r="R567" i="1"/>
  <c r="C567" i="1"/>
  <c r="T566" i="1"/>
  <c r="S566" i="1"/>
  <c r="R566" i="1"/>
  <c r="C566" i="1"/>
  <c r="T565" i="1"/>
  <c r="S565" i="1"/>
  <c r="R565" i="1"/>
  <c r="C565" i="1"/>
  <c r="T564" i="1"/>
  <c r="S564" i="1"/>
  <c r="R564" i="1"/>
  <c r="C564" i="1"/>
  <c r="T563" i="1"/>
  <c r="S563" i="1"/>
  <c r="R563" i="1"/>
  <c r="C563" i="1"/>
  <c r="T562" i="1"/>
  <c r="S562" i="1"/>
  <c r="R562" i="1"/>
  <c r="C562" i="1"/>
  <c r="T561" i="1"/>
  <c r="S561" i="1"/>
  <c r="R561" i="1"/>
  <c r="C561" i="1"/>
  <c r="T560" i="1"/>
  <c r="S560" i="1"/>
  <c r="R560" i="1"/>
  <c r="C560" i="1"/>
  <c r="T559" i="1"/>
  <c r="S559" i="1"/>
  <c r="R559" i="1"/>
  <c r="C559" i="1"/>
  <c r="T558" i="1"/>
  <c r="S558" i="1"/>
  <c r="R558" i="1"/>
  <c r="C558" i="1"/>
  <c r="T557" i="1"/>
  <c r="S557" i="1"/>
  <c r="R557" i="1"/>
  <c r="C557" i="1"/>
  <c r="T556" i="1"/>
  <c r="S556" i="1"/>
  <c r="R556" i="1"/>
  <c r="C556" i="1"/>
  <c r="T555" i="1"/>
  <c r="S555" i="1"/>
  <c r="R555" i="1"/>
  <c r="C555" i="1"/>
  <c r="T554" i="1"/>
  <c r="S554" i="1"/>
  <c r="R554" i="1"/>
  <c r="C554" i="1"/>
  <c r="T553" i="1"/>
  <c r="S553" i="1"/>
  <c r="R553" i="1"/>
  <c r="C553" i="1"/>
  <c r="T552" i="1"/>
  <c r="S552" i="1"/>
  <c r="R552" i="1"/>
  <c r="C552" i="1"/>
  <c r="T551" i="1"/>
  <c r="S551" i="1"/>
  <c r="R551" i="1"/>
  <c r="C551" i="1"/>
  <c r="T550" i="1"/>
  <c r="S550" i="1"/>
  <c r="R550" i="1"/>
  <c r="C550" i="1"/>
  <c r="T549" i="1"/>
  <c r="S549" i="1"/>
  <c r="R549" i="1"/>
  <c r="C549" i="1"/>
  <c r="T548" i="1"/>
  <c r="S548" i="1"/>
  <c r="R548" i="1"/>
  <c r="C548" i="1"/>
  <c r="T547" i="1"/>
  <c r="S547" i="1"/>
  <c r="R547" i="1"/>
  <c r="C547" i="1"/>
  <c r="T546" i="1"/>
  <c r="S546" i="1"/>
  <c r="R546" i="1"/>
  <c r="C546" i="1"/>
  <c r="T545" i="1"/>
  <c r="S545" i="1"/>
  <c r="R545" i="1"/>
  <c r="C545" i="1"/>
  <c r="T544" i="1"/>
  <c r="S544" i="1"/>
  <c r="R544" i="1"/>
  <c r="C544" i="1"/>
  <c r="T543" i="1"/>
  <c r="S543" i="1"/>
  <c r="R543" i="1"/>
  <c r="C543" i="1"/>
  <c r="T542" i="1"/>
  <c r="S542" i="1"/>
  <c r="R542" i="1"/>
  <c r="C542" i="1"/>
  <c r="T541" i="1"/>
  <c r="S541" i="1"/>
  <c r="R541" i="1"/>
  <c r="C541" i="1"/>
  <c r="T540" i="1"/>
  <c r="S540" i="1"/>
  <c r="R540" i="1"/>
  <c r="C540" i="1"/>
  <c r="T539" i="1"/>
  <c r="S539" i="1"/>
  <c r="R539" i="1"/>
  <c r="C539" i="1"/>
  <c r="T538" i="1"/>
  <c r="S538" i="1"/>
  <c r="R538" i="1"/>
  <c r="C538" i="1"/>
  <c r="T537" i="1"/>
  <c r="S537" i="1"/>
  <c r="R537" i="1"/>
  <c r="C537" i="1"/>
  <c r="T536" i="1"/>
  <c r="S536" i="1"/>
  <c r="R536" i="1"/>
  <c r="C536" i="1"/>
  <c r="T535" i="1"/>
  <c r="S535" i="1"/>
  <c r="R535" i="1"/>
  <c r="C535" i="1"/>
  <c r="T534" i="1"/>
  <c r="S534" i="1"/>
  <c r="R534" i="1"/>
  <c r="C534" i="1"/>
  <c r="T533" i="1"/>
  <c r="S533" i="1"/>
  <c r="R533" i="1"/>
  <c r="C533" i="1"/>
  <c r="T532" i="1"/>
  <c r="S532" i="1"/>
  <c r="R532" i="1"/>
  <c r="C532" i="1"/>
  <c r="T531" i="1"/>
  <c r="S531" i="1"/>
  <c r="R531" i="1"/>
  <c r="C531" i="1"/>
  <c r="T530" i="1"/>
  <c r="S530" i="1"/>
  <c r="R530" i="1"/>
  <c r="C530" i="1"/>
  <c r="T529" i="1"/>
  <c r="S529" i="1"/>
  <c r="R529" i="1"/>
  <c r="C529" i="1"/>
  <c r="T528" i="1"/>
  <c r="S528" i="1"/>
  <c r="R528" i="1"/>
  <c r="C528" i="1"/>
  <c r="T527" i="1"/>
  <c r="S527" i="1"/>
  <c r="R527" i="1"/>
  <c r="C527" i="1"/>
  <c r="T526" i="1"/>
  <c r="S526" i="1"/>
  <c r="R526" i="1"/>
  <c r="C526" i="1"/>
  <c r="T525" i="1"/>
  <c r="S525" i="1"/>
  <c r="R525" i="1"/>
  <c r="C525" i="1"/>
  <c r="T524" i="1"/>
  <c r="S524" i="1"/>
  <c r="R524" i="1"/>
  <c r="C524" i="1"/>
  <c r="T523" i="1"/>
  <c r="S523" i="1"/>
  <c r="R523" i="1"/>
  <c r="C523" i="1"/>
  <c r="T522" i="1"/>
  <c r="S522" i="1"/>
  <c r="R522" i="1"/>
  <c r="C522" i="1"/>
  <c r="T521" i="1"/>
  <c r="S521" i="1"/>
  <c r="R521" i="1"/>
  <c r="C521" i="1"/>
  <c r="T520" i="1"/>
  <c r="S520" i="1"/>
  <c r="R520" i="1"/>
  <c r="C520" i="1"/>
  <c r="T519" i="1"/>
  <c r="S519" i="1"/>
  <c r="R519" i="1"/>
  <c r="C519" i="1"/>
  <c r="T518" i="1"/>
  <c r="S518" i="1"/>
  <c r="R518" i="1"/>
  <c r="C518" i="1"/>
  <c r="T517" i="1"/>
  <c r="S517" i="1"/>
  <c r="R517" i="1"/>
  <c r="C517" i="1"/>
  <c r="T516" i="1"/>
  <c r="S516" i="1"/>
  <c r="R516" i="1"/>
  <c r="C516" i="1"/>
  <c r="T515" i="1"/>
  <c r="S515" i="1"/>
  <c r="R515" i="1"/>
  <c r="C515" i="1"/>
  <c r="T514" i="1"/>
  <c r="S514" i="1"/>
  <c r="R514" i="1"/>
  <c r="C514" i="1"/>
  <c r="T513" i="1"/>
  <c r="S513" i="1"/>
  <c r="R513" i="1"/>
  <c r="C513" i="1"/>
  <c r="T512" i="1"/>
  <c r="S512" i="1"/>
  <c r="R512" i="1"/>
  <c r="C512" i="1"/>
  <c r="T511" i="1"/>
  <c r="S511" i="1"/>
  <c r="R511" i="1"/>
  <c r="C511" i="1"/>
  <c r="T510" i="1"/>
  <c r="S510" i="1"/>
  <c r="R510" i="1"/>
  <c r="C510" i="1"/>
  <c r="T509" i="1"/>
  <c r="S509" i="1"/>
  <c r="R509" i="1"/>
  <c r="C509" i="1"/>
  <c r="T508" i="1"/>
  <c r="S508" i="1"/>
  <c r="R508" i="1"/>
  <c r="C508" i="1"/>
  <c r="T507" i="1"/>
  <c r="S507" i="1"/>
  <c r="R507" i="1"/>
  <c r="C507" i="1"/>
  <c r="T506" i="1"/>
  <c r="S506" i="1"/>
  <c r="R506" i="1"/>
  <c r="C506" i="1"/>
  <c r="T505" i="1"/>
  <c r="S505" i="1"/>
  <c r="R505" i="1"/>
  <c r="C505" i="1"/>
  <c r="T504" i="1"/>
  <c r="S504" i="1"/>
  <c r="R504" i="1"/>
  <c r="C504" i="1"/>
  <c r="T503" i="1"/>
  <c r="S503" i="1"/>
  <c r="R503" i="1"/>
  <c r="C503" i="1"/>
  <c r="T502" i="1"/>
  <c r="S502" i="1"/>
  <c r="R502" i="1"/>
  <c r="C502" i="1"/>
  <c r="T501" i="1"/>
  <c r="S501" i="1"/>
  <c r="R501" i="1"/>
  <c r="C501" i="1"/>
  <c r="T500" i="1"/>
  <c r="S500" i="1"/>
  <c r="R500" i="1"/>
  <c r="C500" i="1"/>
  <c r="T499" i="1"/>
  <c r="S499" i="1"/>
  <c r="R499" i="1"/>
  <c r="C499" i="1"/>
  <c r="T498" i="1"/>
  <c r="S498" i="1"/>
  <c r="R498" i="1"/>
  <c r="C498" i="1"/>
  <c r="T497" i="1"/>
  <c r="S497" i="1"/>
  <c r="R497" i="1"/>
  <c r="C497" i="1"/>
  <c r="T496" i="1"/>
  <c r="S496" i="1"/>
  <c r="R496" i="1"/>
  <c r="C496" i="1"/>
  <c r="T495" i="1"/>
  <c r="S495" i="1"/>
  <c r="R495" i="1"/>
  <c r="C495" i="1"/>
  <c r="T494" i="1"/>
  <c r="S494" i="1"/>
  <c r="R494" i="1"/>
  <c r="C494" i="1"/>
  <c r="T493" i="1"/>
  <c r="S493" i="1"/>
  <c r="R493" i="1"/>
  <c r="C493" i="1"/>
  <c r="T492" i="1"/>
  <c r="S492" i="1"/>
  <c r="R492" i="1"/>
  <c r="C492" i="1"/>
  <c r="T491" i="1"/>
  <c r="S491" i="1"/>
  <c r="R491" i="1"/>
  <c r="C491" i="1"/>
  <c r="T490" i="1"/>
  <c r="S490" i="1"/>
  <c r="R490" i="1"/>
  <c r="C490" i="1"/>
  <c r="T489" i="1"/>
  <c r="S489" i="1"/>
  <c r="R489" i="1"/>
  <c r="C489" i="1"/>
  <c r="T488" i="1"/>
  <c r="S488" i="1"/>
  <c r="R488" i="1"/>
  <c r="C488" i="1"/>
  <c r="T487" i="1"/>
  <c r="S487" i="1"/>
  <c r="R487" i="1"/>
  <c r="C487" i="1"/>
  <c r="T486" i="1"/>
  <c r="S486" i="1"/>
  <c r="R486" i="1"/>
  <c r="C486" i="1"/>
  <c r="T485" i="1"/>
  <c r="S485" i="1"/>
  <c r="R485" i="1"/>
  <c r="C485" i="1"/>
  <c r="T484" i="1"/>
  <c r="S484" i="1"/>
  <c r="R484" i="1"/>
  <c r="C484" i="1"/>
  <c r="T483" i="1"/>
  <c r="S483" i="1"/>
  <c r="R483" i="1"/>
  <c r="C483" i="1"/>
  <c r="T482" i="1"/>
  <c r="S482" i="1"/>
  <c r="R482" i="1"/>
  <c r="C482" i="1"/>
  <c r="T481" i="1"/>
  <c r="S481" i="1"/>
  <c r="R481" i="1"/>
  <c r="C481" i="1"/>
  <c r="T480" i="1"/>
  <c r="S480" i="1"/>
  <c r="R480" i="1"/>
  <c r="C480" i="1"/>
  <c r="T479" i="1"/>
  <c r="S479" i="1"/>
  <c r="R479" i="1"/>
  <c r="C479" i="1"/>
  <c r="T478" i="1"/>
  <c r="S478" i="1"/>
  <c r="R478" i="1"/>
  <c r="C478" i="1"/>
  <c r="T477" i="1"/>
  <c r="S477" i="1"/>
  <c r="R477" i="1"/>
  <c r="C477" i="1"/>
  <c r="T476" i="1"/>
  <c r="S476" i="1"/>
  <c r="R476" i="1"/>
  <c r="C476" i="1"/>
  <c r="T475" i="1"/>
  <c r="S475" i="1"/>
  <c r="R475" i="1"/>
  <c r="C475" i="1"/>
  <c r="T474" i="1"/>
  <c r="S474" i="1"/>
  <c r="R474" i="1"/>
  <c r="C474" i="1"/>
  <c r="T473" i="1"/>
  <c r="S473" i="1"/>
  <c r="R473" i="1"/>
  <c r="C473" i="1"/>
  <c r="T472" i="1"/>
  <c r="S472" i="1"/>
  <c r="R472" i="1"/>
  <c r="C472" i="1"/>
  <c r="T471" i="1"/>
  <c r="S471" i="1"/>
  <c r="R471" i="1"/>
  <c r="C471" i="1"/>
  <c r="T470" i="1"/>
  <c r="S470" i="1"/>
  <c r="R470" i="1"/>
  <c r="C470" i="1"/>
  <c r="T469" i="1"/>
  <c r="S469" i="1"/>
  <c r="R469" i="1"/>
  <c r="C469" i="1"/>
  <c r="T468" i="1"/>
  <c r="S468" i="1"/>
  <c r="R468" i="1"/>
  <c r="C468" i="1"/>
  <c r="T467" i="1"/>
  <c r="S467" i="1"/>
  <c r="R467" i="1"/>
  <c r="C467" i="1"/>
  <c r="T466" i="1"/>
  <c r="S466" i="1"/>
  <c r="R466" i="1"/>
  <c r="C466" i="1"/>
  <c r="T465" i="1"/>
  <c r="S465" i="1"/>
  <c r="R465" i="1"/>
  <c r="C465" i="1"/>
  <c r="T464" i="1"/>
  <c r="S464" i="1"/>
  <c r="R464" i="1"/>
  <c r="C464" i="1"/>
  <c r="T463" i="1"/>
  <c r="S463" i="1"/>
  <c r="R463" i="1"/>
  <c r="C463" i="1"/>
  <c r="T462" i="1"/>
  <c r="S462" i="1"/>
  <c r="R462" i="1"/>
  <c r="C462" i="1"/>
  <c r="T461" i="1"/>
  <c r="S461" i="1"/>
  <c r="R461" i="1"/>
  <c r="C461" i="1"/>
  <c r="T460" i="1"/>
  <c r="S460" i="1"/>
  <c r="R460" i="1"/>
  <c r="C460" i="1"/>
  <c r="T459" i="1"/>
  <c r="S459" i="1"/>
  <c r="R459" i="1"/>
  <c r="C459" i="1"/>
  <c r="T458" i="1"/>
  <c r="S458" i="1"/>
  <c r="R458" i="1"/>
  <c r="C458" i="1"/>
  <c r="T457" i="1"/>
  <c r="S457" i="1"/>
  <c r="R457" i="1"/>
  <c r="C457" i="1"/>
  <c r="T456" i="1"/>
  <c r="S456" i="1"/>
  <c r="R456" i="1"/>
  <c r="C456" i="1"/>
  <c r="T455" i="1"/>
  <c r="S455" i="1"/>
  <c r="R455" i="1"/>
  <c r="C455" i="1"/>
  <c r="T454" i="1"/>
  <c r="S454" i="1"/>
  <c r="R454" i="1"/>
  <c r="C454" i="1"/>
  <c r="T453" i="1"/>
  <c r="S453" i="1"/>
  <c r="R453" i="1"/>
  <c r="C453" i="1"/>
  <c r="T452" i="1"/>
  <c r="S452" i="1"/>
  <c r="R452" i="1"/>
  <c r="C452" i="1"/>
  <c r="T451" i="1"/>
  <c r="S451" i="1"/>
  <c r="R451" i="1"/>
  <c r="C451" i="1"/>
  <c r="T450" i="1"/>
  <c r="S450" i="1"/>
  <c r="R450" i="1"/>
  <c r="C450" i="1"/>
  <c r="T449" i="1"/>
  <c r="S449" i="1"/>
  <c r="R449" i="1"/>
  <c r="C449" i="1"/>
  <c r="T448" i="1"/>
  <c r="S448" i="1"/>
  <c r="R448" i="1"/>
  <c r="C448" i="1"/>
  <c r="T447" i="1"/>
  <c r="S447" i="1"/>
  <c r="R447" i="1"/>
  <c r="C447" i="1"/>
  <c r="T446" i="1"/>
  <c r="S446" i="1"/>
  <c r="R446" i="1"/>
  <c r="C446" i="1"/>
  <c r="T445" i="1"/>
  <c r="S445" i="1"/>
  <c r="R445" i="1"/>
  <c r="C445" i="1"/>
  <c r="T444" i="1"/>
  <c r="S444" i="1"/>
  <c r="R444" i="1"/>
  <c r="C444" i="1"/>
  <c r="T443" i="1"/>
  <c r="S443" i="1"/>
  <c r="R443" i="1"/>
  <c r="C443" i="1"/>
  <c r="T442" i="1"/>
  <c r="S442" i="1"/>
  <c r="R442" i="1"/>
  <c r="C442" i="1"/>
  <c r="T441" i="1"/>
  <c r="S441" i="1"/>
  <c r="R441" i="1"/>
  <c r="C441" i="1"/>
  <c r="T440" i="1"/>
  <c r="S440" i="1"/>
  <c r="R440" i="1"/>
  <c r="C440" i="1"/>
  <c r="T439" i="1"/>
  <c r="S439" i="1"/>
  <c r="R439" i="1"/>
  <c r="C439" i="1"/>
  <c r="T438" i="1"/>
  <c r="S438" i="1"/>
  <c r="R438" i="1"/>
  <c r="C438" i="1"/>
  <c r="T437" i="1"/>
  <c r="S437" i="1"/>
  <c r="R437" i="1"/>
  <c r="C437" i="1"/>
  <c r="T436" i="1"/>
  <c r="S436" i="1"/>
  <c r="R436" i="1"/>
  <c r="C436" i="1"/>
  <c r="T435" i="1"/>
  <c r="S435" i="1"/>
  <c r="R435" i="1"/>
  <c r="C435" i="1"/>
  <c r="T434" i="1"/>
  <c r="S434" i="1"/>
  <c r="R434" i="1"/>
  <c r="C434" i="1"/>
  <c r="T433" i="1"/>
  <c r="S433" i="1"/>
  <c r="R433" i="1"/>
  <c r="C433" i="1"/>
  <c r="T432" i="1"/>
  <c r="S432" i="1"/>
  <c r="R432" i="1"/>
  <c r="C432" i="1"/>
  <c r="T431" i="1"/>
  <c r="S431" i="1"/>
  <c r="R431" i="1"/>
  <c r="C431" i="1"/>
  <c r="T430" i="1"/>
  <c r="S430" i="1"/>
  <c r="R430" i="1"/>
  <c r="C430" i="1"/>
  <c r="T429" i="1"/>
  <c r="S429" i="1"/>
  <c r="R429" i="1"/>
  <c r="C429" i="1"/>
  <c r="T428" i="1"/>
  <c r="S428" i="1"/>
  <c r="R428" i="1"/>
  <c r="C428" i="1"/>
  <c r="T427" i="1"/>
  <c r="S427" i="1"/>
  <c r="R427" i="1"/>
  <c r="C427" i="1"/>
  <c r="T426" i="1"/>
  <c r="S426" i="1"/>
  <c r="R426" i="1"/>
  <c r="C426" i="1"/>
  <c r="T425" i="1"/>
  <c r="S425" i="1"/>
  <c r="R425" i="1"/>
  <c r="C425" i="1"/>
  <c r="T424" i="1"/>
  <c r="S424" i="1"/>
  <c r="R424" i="1"/>
  <c r="C424" i="1"/>
  <c r="T423" i="1"/>
  <c r="S423" i="1"/>
  <c r="R423" i="1"/>
  <c r="C423" i="1"/>
  <c r="T422" i="1"/>
  <c r="S422" i="1"/>
  <c r="R422" i="1"/>
  <c r="C422" i="1"/>
  <c r="T421" i="1"/>
  <c r="S421" i="1"/>
  <c r="R421" i="1"/>
  <c r="C421" i="1"/>
  <c r="T420" i="1"/>
  <c r="S420" i="1"/>
  <c r="R420" i="1"/>
  <c r="C420" i="1"/>
  <c r="T419" i="1"/>
  <c r="S419" i="1"/>
  <c r="R419" i="1"/>
  <c r="C419" i="1"/>
  <c r="T418" i="1"/>
  <c r="S418" i="1"/>
  <c r="R418" i="1"/>
  <c r="C418" i="1"/>
  <c r="T417" i="1"/>
  <c r="S417" i="1"/>
  <c r="R417" i="1"/>
  <c r="C417" i="1"/>
  <c r="T416" i="1"/>
  <c r="S416" i="1"/>
  <c r="R416" i="1"/>
  <c r="C416" i="1"/>
  <c r="T415" i="1"/>
  <c r="S415" i="1"/>
  <c r="R415" i="1"/>
  <c r="C415" i="1"/>
  <c r="T414" i="1"/>
  <c r="S414" i="1"/>
  <c r="R414" i="1"/>
  <c r="C414" i="1"/>
  <c r="T413" i="1"/>
  <c r="S413" i="1"/>
  <c r="R413" i="1"/>
  <c r="C413" i="1"/>
  <c r="T412" i="1"/>
  <c r="S412" i="1"/>
  <c r="R412" i="1"/>
  <c r="C412" i="1"/>
  <c r="T411" i="1"/>
  <c r="S411" i="1"/>
  <c r="R411" i="1"/>
  <c r="C411" i="1"/>
  <c r="T410" i="1"/>
  <c r="S410" i="1"/>
  <c r="R410" i="1"/>
  <c r="C410" i="1"/>
  <c r="T409" i="1"/>
  <c r="S409" i="1"/>
  <c r="R409" i="1"/>
  <c r="C409" i="1"/>
  <c r="T408" i="1"/>
  <c r="S408" i="1"/>
  <c r="R408" i="1"/>
  <c r="C408" i="1"/>
  <c r="T407" i="1"/>
  <c r="S407" i="1"/>
  <c r="R407" i="1"/>
  <c r="C407" i="1"/>
  <c r="T406" i="1"/>
  <c r="S406" i="1"/>
  <c r="R406" i="1"/>
  <c r="C406" i="1"/>
  <c r="T405" i="1"/>
  <c r="S405" i="1"/>
  <c r="R405" i="1"/>
  <c r="C405" i="1"/>
  <c r="T404" i="1"/>
  <c r="S404" i="1"/>
  <c r="R404" i="1"/>
  <c r="C404" i="1"/>
  <c r="T403" i="1"/>
  <c r="S403" i="1"/>
  <c r="R403" i="1"/>
  <c r="C403" i="1"/>
  <c r="T402" i="1"/>
  <c r="S402" i="1"/>
  <c r="R402" i="1"/>
  <c r="C402" i="1"/>
  <c r="T401" i="1"/>
  <c r="S401" i="1"/>
  <c r="R401" i="1"/>
  <c r="C401" i="1"/>
  <c r="T400" i="1"/>
  <c r="S400" i="1"/>
  <c r="R400" i="1"/>
  <c r="C400" i="1"/>
  <c r="T399" i="1"/>
  <c r="S399" i="1"/>
  <c r="R399" i="1"/>
  <c r="C399" i="1"/>
  <c r="T398" i="1"/>
  <c r="S398" i="1"/>
  <c r="R398" i="1"/>
  <c r="C398" i="1"/>
  <c r="T397" i="1"/>
  <c r="S397" i="1"/>
  <c r="R397" i="1"/>
  <c r="C397" i="1"/>
  <c r="T396" i="1"/>
  <c r="S396" i="1"/>
  <c r="R396" i="1"/>
  <c r="C396" i="1"/>
  <c r="T395" i="1"/>
  <c r="S395" i="1"/>
  <c r="R395" i="1"/>
  <c r="C395" i="1"/>
  <c r="T394" i="1"/>
  <c r="S394" i="1"/>
  <c r="R394" i="1"/>
  <c r="C394" i="1"/>
  <c r="T393" i="1"/>
  <c r="S393" i="1"/>
  <c r="R393" i="1"/>
  <c r="C393" i="1"/>
  <c r="T392" i="1"/>
  <c r="S392" i="1"/>
  <c r="R392" i="1"/>
  <c r="C392" i="1"/>
  <c r="T391" i="1"/>
  <c r="S391" i="1"/>
  <c r="R391" i="1"/>
  <c r="C391" i="1"/>
  <c r="T390" i="1"/>
  <c r="S390" i="1"/>
  <c r="R390" i="1"/>
  <c r="C390" i="1"/>
  <c r="T389" i="1"/>
  <c r="S389" i="1"/>
  <c r="R389" i="1"/>
  <c r="C389" i="1"/>
  <c r="T388" i="1"/>
  <c r="S388" i="1"/>
  <c r="R388" i="1"/>
  <c r="C388" i="1"/>
  <c r="T387" i="1"/>
  <c r="S387" i="1"/>
  <c r="R387" i="1"/>
  <c r="C387" i="1"/>
  <c r="T386" i="1"/>
  <c r="S386" i="1"/>
  <c r="R386" i="1"/>
  <c r="C386" i="1"/>
  <c r="T385" i="1"/>
  <c r="S385" i="1"/>
  <c r="R385" i="1"/>
  <c r="C385" i="1"/>
  <c r="T384" i="1"/>
  <c r="S384" i="1"/>
  <c r="R384" i="1"/>
  <c r="C384" i="1"/>
  <c r="T383" i="1"/>
  <c r="S383" i="1"/>
  <c r="R383" i="1"/>
  <c r="C383" i="1"/>
  <c r="T382" i="1"/>
  <c r="S382" i="1"/>
  <c r="R382" i="1"/>
  <c r="C382" i="1"/>
  <c r="T381" i="1"/>
  <c r="S381" i="1"/>
  <c r="R381" i="1"/>
  <c r="C381" i="1"/>
  <c r="T380" i="1"/>
  <c r="S380" i="1"/>
  <c r="R380" i="1"/>
  <c r="C380" i="1"/>
  <c r="T379" i="1"/>
  <c r="S379" i="1"/>
  <c r="R379" i="1"/>
  <c r="C379" i="1"/>
  <c r="T378" i="1"/>
  <c r="S378" i="1"/>
  <c r="R378" i="1"/>
  <c r="C378" i="1"/>
  <c r="T377" i="1"/>
  <c r="S377" i="1"/>
  <c r="R377" i="1"/>
  <c r="C377" i="1"/>
  <c r="T376" i="1"/>
  <c r="S376" i="1"/>
  <c r="R376" i="1"/>
  <c r="C376" i="1"/>
  <c r="T375" i="1"/>
  <c r="S375" i="1"/>
  <c r="R375" i="1"/>
  <c r="C375" i="1"/>
  <c r="T374" i="1"/>
  <c r="S374" i="1"/>
  <c r="R374" i="1"/>
  <c r="C374" i="1"/>
  <c r="T373" i="1"/>
  <c r="S373" i="1"/>
  <c r="R373" i="1"/>
  <c r="C373" i="1"/>
  <c r="T372" i="1"/>
  <c r="S372" i="1"/>
  <c r="R372" i="1"/>
  <c r="C372" i="1"/>
  <c r="T371" i="1"/>
  <c r="S371" i="1"/>
  <c r="R371" i="1"/>
  <c r="C371" i="1"/>
  <c r="T370" i="1"/>
  <c r="S370" i="1"/>
  <c r="R370" i="1"/>
  <c r="C370" i="1"/>
  <c r="T369" i="1"/>
  <c r="S369" i="1"/>
  <c r="R369" i="1"/>
  <c r="C369" i="1"/>
  <c r="T368" i="1"/>
  <c r="S368" i="1"/>
  <c r="R368" i="1"/>
  <c r="C368" i="1"/>
  <c r="T367" i="1"/>
  <c r="S367" i="1"/>
  <c r="R367" i="1"/>
  <c r="C367" i="1"/>
  <c r="T366" i="1"/>
  <c r="S366" i="1"/>
  <c r="R366" i="1"/>
  <c r="C366" i="1"/>
  <c r="T365" i="1"/>
  <c r="S365" i="1"/>
  <c r="R365" i="1"/>
  <c r="C365" i="1"/>
  <c r="T364" i="1"/>
  <c r="S364" i="1"/>
  <c r="R364" i="1"/>
  <c r="C364" i="1"/>
  <c r="T363" i="1"/>
  <c r="S363" i="1"/>
  <c r="R363" i="1"/>
  <c r="C363" i="1"/>
  <c r="T362" i="1"/>
  <c r="S362" i="1"/>
  <c r="R362" i="1"/>
  <c r="C362" i="1"/>
  <c r="T361" i="1"/>
  <c r="S361" i="1"/>
  <c r="R361" i="1"/>
  <c r="C361" i="1"/>
  <c r="T360" i="1"/>
  <c r="S360" i="1"/>
  <c r="R360" i="1"/>
  <c r="C360" i="1"/>
  <c r="T359" i="1"/>
  <c r="S359" i="1"/>
  <c r="R359" i="1"/>
  <c r="C359" i="1"/>
  <c r="T358" i="1"/>
  <c r="S358" i="1"/>
  <c r="R358" i="1"/>
  <c r="C358" i="1"/>
  <c r="T357" i="1"/>
  <c r="S357" i="1"/>
  <c r="R357" i="1"/>
  <c r="C357" i="1"/>
  <c r="T356" i="1"/>
  <c r="S356" i="1"/>
  <c r="R356" i="1"/>
  <c r="C356" i="1"/>
  <c r="T355" i="1"/>
  <c r="S355" i="1"/>
  <c r="R355" i="1"/>
  <c r="C355" i="1"/>
  <c r="T354" i="1"/>
  <c r="S354" i="1"/>
  <c r="R354" i="1"/>
  <c r="C354" i="1"/>
  <c r="T353" i="1"/>
  <c r="S353" i="1"/>
  <c r="R353" i="1"/>
  <c r="C353" i="1"/>
  <c r="T352" i="1"/>
  <c r="S352" i="1"/>
  <c r="R352" i="1"/>
  <c r="C352" i="1"/>
  <c r="T351" i="1"/>
  <c r="S351" i="1"/>
  <c r="R351" i="1"/>
  <c r="C351" i="1"/>
  <c r="T350" i="1"/>
  <c r="S350" i="1"/>
  <c r="R350" i="1"/>
  <c r="C350" i="1"/>
  <c r="T349" i="1"/>
  <c r="S349" i="1"/>
  <c r="R349" i="1"/>
  <c r="C349" i="1"/>
  <c r="T348" i="1"/>
  <c r="S348" i="1"/>
  <c r="R348" i="1"/>
  <c r="C348" i="1"/>
  <c r="T347" i="1"/>
  <c r="S347" i="1"/>
  <c r="R347" i="1"/>
  <c r="C347" i="1"/>
  <c r="T346" i="1"/>
  <c r="S346" i="1"/>
  <c r="R346" i="1"/>
  <c r="C346" i="1"/>
  <c r="T345" i="1"/>
  <c r="S345" i="1"/>
  <c r="R345" i="1"/>
  <c r="C345" i="1"/>
  <c r="T344" i="1"/>
  <c r="S344" i="1"/>
  <c r="R344" i="1"/>
  <c r="C344" i="1"/>
  <c r="T343" i="1"/>
  <c r="S343" i="1"/>
  <c r="R343" i="1"/>
  <c r="C343" i="1"/>
  <c r="T342" i="1"/>
  <c r="S342" i="1"/>
  <c r="R342" i="1"/>
  <c r="C342" i="1"/>
  <c r="T341" i="1"/>
  <c r="S341" i="1"/>
  <c r="R341" i="1"/>
  <c r="C341" i="1"/>
  <c r="T340" i="1"/>
  <c r="S340" i="1"/>
  <c r="R340" i="1"/>
  <c r="C340" i="1"/>
  <c r="T339" i="1"/>
  <c r="S339" i="1"/>
  <c r="R339" i="1"/>
  <c r="C339" i="1"/>
  <c r="T338" i="1"/>
  <c r="S338" i="1"/>
  <c r="R338" i="1"/>
  <c r="C338" i="1"/>
  <c r="T337" i="1"/>
  <c r="S337" i="1"/>
  <c r="R337" i="1"/>
  <c r="C337" i="1"/>
  <c r="T336" i="1"/>
  <c r="S336" i="1"/>
  <c r="R336" i="1"/>
  <c r="C336" i="1"/>
  <c r="T335" i="1"/>
  <c r="S335" i="1"/>
  <c r="R335" i="1"/>
  <c r="C335" i="1"/>
  <c r="T334" i="1"/>
  <c r="S334" i="1"/>
  <c r="R334" i="1"/>
  <c r="C334" i="1"/>
  <c r="T333" i="1"/>
  <c r="S333" i="1"/>
  <c r="R333" i="1"/>
  <c r="C333" i="1"/>
  <c r="T332" i="1"/>
  <c r="S332" i="1"/>
  <c r="R332" i="1"/>
  <c r="C332" i="1"/>
  <c r="T331" i="1"/>
  <c r="S331" i="1"/>
  <c r="R331" i="1"/>
  <c r="C331" i="1"/>
  <c r="T330" i="1"/>
  <c r="S330" i="1"/>
  <c r="R330" i="1"/>
  <c r="C330" i="1"/>
  <c r="T329" i="1"/>
  <c r="S329" i="1"/>
  <c r="R329" i="1"/>
  <c r="C329" i="1"/>
  <c r="T328" i="1"/>
  <c r="S328" i="1"/>
  <c r="R328" i="1"/>
  <c r="C328" i="1"/>
  <c r="T327" i="1"/>
  <c r="S327" i="1"/>
  <c r="R327" i="1"/>
  <c r="C327" i="1"/>
  <c r="T326" i="1"/>
  <c r="S326" i="1"/>
  <c r="R326" i="1"/>
  <c r="C326" i="1"/>
  <c r="T325" i="1"/>
  <c r="S325" i="1"/>
  <c r="R325" i="1"/>
  <c r="C325" i="1"/>
  <c r="T324" i="1"/>
  <c r="S324" i="1"/>
  <c r="R324" i="1"/>
  <c r="C324" i="1"/>
  <c r="T323" i="1"/>
  <c r="S323" i="1"/>
  <c r="R323" i="1"/>
  <c r="C323" i="1"/>
  <c r="T322" i="1"/>
  <c r="S322" i="1"/>
  <c r="R322" i="1"/>
  <c r="C322" i="1"/>
  <c r="T321" i="1"/>
  <c r="S321" i="1"/>
  <c r="R321" i="1"/>
  <c r="C321" i="1"/>
  <c r="T320" i="1"/>
  <c r="S320" i="1"/>
  <c r="R320" i="1"/>
  <c r="C320" i="1"/>
  <c r="T319" i="1"/>
  <c r="S319" i="1"/>
  <c r="R319" i="1"/>
  <c r="C319" i="1"/>
  <c r="T318" i="1"/>
  <c r="S318" i="1"/>
  <c r="R318" i="1"/>
  <c r="C318" i="1"/>
  <c r="T317" i="1"/>
  <c r="S317" i="1"/>
  <c r="R317" i="1"/>
  <c r="C317" i="1"/>
  <c r="T316" i="1"/>
  <c r="S316" i="1"/>
  <c r="R316" i="1"/>
  <c r="C316" i="1"/>
  <c r="T315" i="1"/>
  <c r="S315" i="1"/>
  <c r="R315" i="1"/>
  <c r="C315" i="1"/>
  <c r="T314" i="1"/>
  <c r="S314" i="1"/>
  <c r="R314" i="1"/>
  <c r="C314" i="1"/>
  <c r="T313" i="1"/>
  <c r="S313" i="1"/>
  <c r="R313" i="1"/>
  <c r="C313" i="1"/>
  <c r="T312" i="1"/>
  <c r="S312" i="1"/>
  <c r="R312" i="1"/>
  <c r="C312" i="1"/>
  <c r="T311" i="1"/>
  <c r="S311" i="1"/>
  <c r="R311" i="1"/>
  <c r="C311" i="1"/>
  <c r="T310" i="1"/>
  <c r="S310" i="1"/>
  <c r="R310" i="1"/>
  <c r="C310" i="1"/>
  <c r="T309" i="1"/>
  <c r="S309" i="1"/>
  <c r="R309" i="1"/>
  <c r="C309" i="1"/>
  <c r="T308" i="1"/>
  <c r="S308" i="1"/>
  <c r="R308" i="1"/>
  <c r="C308" i="1"/>
  <c r="T307" i="1"/>
  <c r="S307" i="1"/>
  <c r="R307" i="1"/>
  <c r="C307" i="1"/>
  <c r="T306" i="1"/>
  <c r="S306" i="1"/>
  <c r="R306" i="1"/>
  <c r="C306" i="1"/>
  <c r="T305" i="1"/>
  <c r="S305" i="1"/>
  <c r="R305" i="1"/>
  <c r="C305" i="1"/>
  <c r="T304" i="1"/>
  <c r="S304" i="1"/>
  <c r="R304" i="1"/>
  <c r="C304" i="1"/>
  <c r="T303" i="1"/>
  <c r="S303" i="1"/>
  <c r="R303" i="1"/>
  <c r="C303" i="1"/>
  <c r="T302" i="1"/>
  <c r="S302" i="1"/>
  <c r="R302" i="1"/>
  <c r="C302" i="1"/>
  <c r="T301" i="1"/>
  <c r="S301" i="1"/>
  <c r="R301" i="1"/>
  <c r="C301" i="1"/>
  <c r="T300" i="1"/>
  <c r="S300" i="1"/>
  <c r="R300" i="1"/>
  <c r="C300" i="1"/>
  <c r="T299" i="1"/>
  <c r="S299" i="1"/>
  <c r="R299" i="1"/>
  <c r="C299" i="1"/>
  <c r="T298" i="1"/>
  <c r="S298" i="1"/>
  <c r="R298" i="1"/>
  <c r="C298" i="1"/>
  <c r="T297" i="1"/>
  <c r="S297" i="1"/>
  <c r="R297" i="1"/>
  <c r="C297" i="1"/>
  <c r="T296" i="1"/>
  <c r="S296" i="1"/>
  <c r="R296" i="1"/>
  <c r="C296" i="1"/>
  <c r="T295" i="1"/>
  <c r="S295" i="1"/>
  <c r="R295" i="1"/>
  <c r="C295" i="1"/>
  <c r="T294" i="1"/>
  <c r="S294" i="1"/>
  <c r="R294" i="1"/>
  <c r="C294" i="1"/>
  <c r="T293" i="1"/>
  <c r="S293" i="1"/>
  <c r="R293" i="1"/>
  <c r="C293" i="1"/>
  <c r="T292" i="1"/>
  <c r="S292" i="1"/>
  <c r="R292" i="1"/>
  <c r="C292" i="1"/>
  <c r="T291" i="1"/>
  <c r="S291" i="1"/>
  <c r="R291" i="1"/>
  <c r="C291" i="1"/>
  <c r="T290" i="1"/>
  <c r="S290" i="1"/>
  <c r="R290" i="1"/>
  <c r="C290" i="1"/>
  <c r="T289" i="1"/>
  <c r="S289" i="1"/>
  <c r="R289" i="1"/>
  <c r="C289" i="1"/>
  <c r="T288" i="1"/>
  <c r="S288" i="1"/>
  <c r="R288" i="1"/>
  <c r="C288" i="1"/>
  <c r="T287" i="1"/>
  <c r="S287" i="1"/>
  <c r="R287" i="1"/>
  <c r="C287" i="1"/>
  <c r="T286" i="1"/>
  <c r="S286" i="1"/>
  <c r="R286" i="1"/>
  <c r="C286" i="1"/>
  <c r="T285" i="1"/>
  <c r="S285" i="1"/>
  <c r="R285" i="1"/>
  <c r="C285" i="1"/>
  <c r="T284" i="1"/>
  <c r="S284" i="1"/>
  <c r="R284" i="1"/>
  <c r="C284" i="1"/>
  <c r="T283" i="1"/>
  <c r="S283" i="1"/>
  <c r="R283" i="1"/>
  <c r="C283" i="1"/>
  <c r="T282" i="1"/>
  <c r="S282" i="1"/>
  <c r="R282" i="1"/>
  <c r="C282" i="1"/>
  <c r="T281" i="1"/>
  <c r="S281" i="1"/>
  <c r="R281" i="1"/>
  <c r="C281" i="1"/>
  <c r="T280" i="1"/>
  <c r="S280" i="1"/>
  <c r="R280" i="1"/>
  <c r="C280" i="1"/>
  <c r="T279" i="1"/>
  <c r="S279" i="1"/>
  <c r="R279" i="1"/>
  <c r="C279" i="1"/>
  <c r="T278" i="1"/>
  <c r="S278" i="1"/>
  <c r="R278" i="1"/>
  <c r="C278" i="1"/>
  <c r="T277" i="1"/>
  <c r="S277" i="1"/>
  <c r="R277" i="1"/>
  <c r="C277" i="1"/>
  <c r="T276" i="1"/>
  <c r="S276" i="1"/>
  <c r="R276" i="1"/>
  <c r="C276" i="1"/>
  <c r="T275" i="1"/>
  <c r="S275" i="1"/>
  <c r="R275" i="1"/>
  <c r="C275" i="1"/>
  <c r="T274" i="1"/>
  <c r="S274" i="1"/>
  <c r="R274" i="1"/>
  <c r="C274" i="1"/>
  <c r="T273" i="1"/>
  <c r="S273" i="1"/>
  <c r="R273" i="1"/>
  <c r="C273" i="1"/>
  <c r="T272" i="1"/>
  <c r="S272" i="1"/>
  <c r="R272" i="1"/>
  <c r="C272" i="1"/>
  <c r="T271" i="1"/>
  <c r="S271" i="1"/>
  <c r="R271" i="1"/>
  <c r="C271" i="1"/>
  <c r="T270" i="1"/>
  <c r="S270" i="1"/>
  <c r="R270" i="1"/>
  <c r="C270" i="1"/>
  <c r="T269" i="1"/>
  <c r="S269" i="1"/>
  <c r="R269" i="1"/>
  <c r="C269" i="1"/>
  <c r="T268" i="1"/>
  <c r="S268" i="1"/>
  <c r="R268" i="1"/>
  <c r="C268" i="1"/>
  <c r="T267" i="1"/>
  <c r="S267" i="1"/>
  <c r="R267" i="1"/>
  <c r="C267" i="1"/>
  <c r="T266" i="1"/>
  <c r="S266" i="1"/>
  <c r="R266" i="1"/>
  <c r="C266" i="1"/>
  <c r="T265" i="1"/>
  <c r="S265" i="1"/>
  <c r="R265" i="1"/>
  <c r="C265" i="1"/>
  <c r="T264" i="1"/>
  <c r="S264" i="1"/>
  <c r="R264" i="1"/>
  <c r="C264" i="1"/>
  <c r="T263" i="1"/>
  <c r="S263" i="1"/>
  <c r="R263" i="1"/>
  <c r="C263" i="1"/>
  <c r="T262" i="1"/>
  <c r="S262" i="1"/>
  <c r="R262" i="1"/>
  <c r="C262" i="1"/>
  <c r="T261" i="1"/>
  <c r="S261" i="1"/>
  <c r="R261" i="1"/>
  <c r="C261" i="1"/>
  <c r="T260" i="1"/>
  <c r="S260" i="1"/>
  <c r="R260" i="1"/>
  <c r="C260" i="1"/>
  <c r="T259" i="1"/>
  <c r="S259" i="1"/>
  <c r="R259" i="1"/>
  <c r="C259" i="1"/>
  <c r="T258" i="1"/>
  <c r="S258" i="1"/>
  <c r="R258" i="1"/>
  <c r="C258" i="1"/>
  <c r="T257" i="1"/>
  <c r="S257" i="1"/>
  <c r="R257" i="1"/>
  <c r="C257" i="1"/>
  <c r="T256" i="1"/>
  <c r="S256" i="1"/>
  <c r="R256" i="1"/>
  <c r="C256" i="1"/>
  <c r="T255" i="1"/>
  <c r="S255" i="1"/>
  <c r="R255" i="1"/>
  <c r="C255" i="1"/>
  <c r="T254" i="1"/>
  <c r="S254" i="1"/>
  <c r="R254" i="1"/>
  <c r="C254" i="1"/>
  <c r="T253" i="1"/>
  <c r="S253" i="1"/>
  <c r="R253" i="1"/>
  <c r="C253" i="1"/>
  <c r="T252" i="1"/>
  <c r="S252" i="1"/>
  <c r="R252" i="1"/>
  <c r="C252" i="1"/>
  <c r="T251" i="1"/>
  <c r="S251" i="1"/>
  <c r="R251" i="1"/>
  <c r="C251" i="1"/>
  <c r="T250" i="1"/>
  <c r="S250" i="1"/>
  <c r="R250" i="1"/>
  <c r="C250" i="1"/>
  <c r="T249" i="1"/>
  <c r="S249" i="1"/>
  <c r="R249" i="1"/>
  <c r="C249" i="1"/>
  <c r="T248" i="1"/>
  <c r="S248" i="1"/>
  <c r="R248" i="1"/>
  <c r="C248" i="1"/>
  <c r="T247" i="1"/>
  <c r="S247" i="1"/>
  <c r="R247" i="1"/>
  <c r="C247" i="1"/>
  <c r="T246" i="1"/>
  <c r="S246" i="1"/>
  <c r="R246" i="1"/>
  <c r="C246" i="1"/>
  <c r="T245" i="1"/>
  <c r="S245" i="1"/>
  <c r="R245" i="1"/>
  <c r="C245" i="1"/>
  <c r="T244" i="1"/>
  <c r="S244" i="1"/>
  <c r="R244" i="1"/>
  <c r="C244" i="1"/>
  <c r="T243" i="1"/>
  <c r="S243" i="1"/>
  <c r="R243" i="1"/>
  <c r="C243" i="1"/>
  <c r="T242" i="1"/>
  <c r="S242" i="1"/>
  <c r="R242" i="1"/>
  <c r="C242" i="1"/>
  <c r="T241" i="1"/>
  <c r="S241" i="1"/>
  <c r="R241" i="1"/>
  <c r="C241" i="1"/>
  <c r="T240" i="1"/>
  <c r="S240" i="1"/>
  <c r="R240" i="1"/>
  <c r="C240" i="1"/>
  <c r="T239" i="1"/>
  <c r="S239" i="1"/>
  <c r="R239" i="1"/>
  <c r="C239" i="1"/>
  <c r="T238" i="1"/>
  <c r="S238" i="1"/>
  <c r="R238" i="1"/>
  <c r="C238" i="1"/>
  <c r="T237" i="1"/>
  <c r="S237" i="1"/>
  <c r="R237" i="1"/>
  <c r="C237" i="1"/>
  <c r="T236" i="1"/>
  <c r="S236" i="1"/>
  <c r="R236" i="1"/>
  <c r="C236" i="1"/>
  <c r="T235" i="1"/>
  <c r="S235" i="1"/>
  <c r="R235" i="1"/>
  <c r="C235" i="1"/>
  <c r="T234" i="1"/>
  <c r="S234" i="1"/>
  <c r="R234" i="1"/>
  <c r="C234" i="1"/>
  <c r="T233" i="1"/>
  <c r="S233" i="1"/>
  <c r="R233" i="1"/>
  <c r="C233" i="1"/>
  <c r="T232" i="1"/>
  <c r="S232" i="1"/>
  <c r="R232" i="1"/>
  <c r="C232" i="1"/>
  <c r="T231" i="1"/>
  <c r="S231" i="1"/>
  <c r="R231" i="1"/>
  <c r="C231" i="1"/>
  <c r="T230" i="1"/>
  <c r="S230" i="1"/>
  <c r="R230" i="1"/>
  <c r="C230" i="1"/>
  <c r="T229" i="1"/>
  <c r="S229" i="1"/>
  <c r="R229" i="1"/>
  <c r="C229" i="1"/>
  <c r="T228" i="1"/>
  <c r="S228" i="1"/>
  <c r="R228" i="1"/>
  <c r="C228" i="1"/>
  <c r="T227" i="1"/>
  <c r="S227" i="1"/>
  <c r="R227" i="1"/>
  <c r="C227" i="1"/>
  <c r="T226" i="1"/>
  <c r="S226" i="1"/>
  <c r="R226" i="1"/>
  <c r="C226" i="1"/>
  <c r="T225" i="1"/>
  <c r="S225" i="1"/>
  <c r="R225" i="1"/>
  <c r="C225" i="1"/>
  <c r="T224" i="1"/>
  <c r="S224" i="1"/>
  <c r="R224" i="1"/>
  <c r="C224" i="1"/>
  <c r="T223" i="1"/>
  <c r="S223" i="1"/>
  <c r="R223" i="1"/>
  <c r="C223" i="1"/>
  <c r="T222" i="1"/>
  <c r="S222" i="1"/>
  <c r="R222" i="1"/>
  <c r="C222" i="1"/>
  <c r="T221" i="1"/>
  <c r="S221" i="1"/>
  <c r="R221" i="1"/>
  <c r="C221" i="1"/>
  <c r="T220" i="1"/>
  <c r="S220" i="1"/>
  <c r="R220" i="1"/>
  <c r="C220" i="1"/>
  <c r="T219" i="1"/>
  <c r="S219" i="1"/>
  <c r="R219" i="1"/>
  <c r="C219" i="1"/>
  <c r="T218" i="1"/>
  <c r="S218" i="1"/>
  <c r="R218" i="1"/>
  <c r="C218" i="1"/>
  <c r="T217" i="1"/>
  <c r="S217" i="1"/>
  <c r="R217" i="1"/>
  <c r="C217" i="1"/>
  <c r="T216" i="1"/>
  <c r="S216" i="1"/>
  <c r="R216" i="1"/>
  <c r="C216" i="1"/>
  <c r="T215" i="1"/>
  <c r="S215" i="1"/>
  <c r="R215" i="1"/>
  <c r="C215" i="1"/>
  <c r="T214" i="1"/>
  <c r="S214" i="1"/>
  <c r="R214" i="1"/>
  <c r="C214" i="1"/>
  <c r="T213" i="1"/>
  <c r="S213" i="1"/>
  <c r="R213" i="1"/>
  <c r="C213" i="1"/>
  <c r="T212" i="1"/>
  <c r="S212" i="1"/>
  <c r="R212" i="1"/>
  <c r="C212" i="1"/>
  <c r="T211" i="1"/>
  <c r="S211" i="1"/>
  <c r="R211" i="1"/>
  <c r="C211" i="1"/>
  <c r="T210" i="1"/>
  <c r="S210" i="1"/>
  <c r="R210" i="1"/>
  <c r="C210" i="1"/>
  <c r="T209" i="1"/>
  <c r="S209" i="1"/>
  <c r="R209" i="1"/>
  <c r="C209" i="1"/>
  <c r="T208" i="1"/>
  <c r="S208" i="1"/>
  <c r="R208" i="1"/>
  <c r="C208" i="1"/>
  <c r="T207" i="1"/>
  <c r="S207" i="1"/>
  <c r="R207" i="1"/>
  <c r="C207" i="1"/>
  <c r="T206" i="1"/>
  <c r="S206" i="1"/>
  <c r="R206" i="1"/>
  <c r="C206" i="1"/>
  <c r="T205" i="1"/>
  <c r="S205" i="1"/>
  <c r="R205" i="1"/>
  <c r="C205" i="1"/>
  <c r="T204" i="1"/>
  <c r="S204" i="1"/>
  <c r="R204" i="1"/>
  <c r="C204" i="1"/>
  <c r="T203" i="1"/>
  <c r="S203" i="1"/>
  <c r="R203" i="1"/>
  <c r="C203" i="1"/>
  <c r="T202" i="1"/>
  <c r="S202" i="1"/>
  <c r="R202" i="1"/>
  <c r="C202" i="1"/>
  <c r="T201" i="1"/>
  <c r="S201" i="1"/>
  <c r="R201" i="1"/>
  <c r="C201" i="1"/>
  <c r="T200" i="1"/>
  <c r="S200" i="1"/>
  <c r="R200" i="1"/>
  <c r="C200" i="1"/>
  <c r="T199" i="1"/>
  <c r="S199" i="1"/>
  <c r="R199" i="1"/>
  <c r="C199" i="1"/>
  <c r="T198" i="1"/>
  <c r="S198" i="1"/>
  <c r="R198" i="1"/>
  <c r="C198" i="1"/>
  <c r="T197" i="1"/>
  <c r="S197" i="1"/>
  <c r="R197" i="1"/>
  <c r="C197" i="1"/>
  <c r="T196" i="1"/>
  <c r="S196" i="1"/>
  <c r="R196" i="1"/>
  <c r="C196" i="1"/>
  <c r="T195" i="1"/>
  <c r="S195" i="1"/>
  <c r="R195" i="1"/>
  <c r="C195" i="1"/>
  <c r="T194" i="1"/>
  <c r="S194" i="1"/>
  <c r="R194" i="1"/>
  <c r="C194" i="1"/>
  <c r="T193" i="1"/>
  <c r="S193" i="1"/>
  <c r="R193" i="1"/>
  <c r="C193" i="1"/>
  <c r="T192" i="1"/>
  <c r="S192" i="1"/>
  <c r="R192" i="1"/>
  <c r="C192" i="1"/>
  <c r="T191" i="1"/>
  <c r="S191" i="1"/>
  <c r="R191" i="1"/>
  <c r="C191" i="1"/>
  <c r="T190" i="1"/>
  <c r="S190" i="1"/>
  <c r="R190" i="1"/>
  <c r="C190" i="1"/>
  <c r="T189" i="1"/>
  <c r="S189" i="1"/>
  <c r="R189" i="1"/>
  <c r="C189" i="1"/>
  <c r="T188" i="1"/>
  <c r="S188" i="1"/>
  <c r="R188" i="1"/>
  <c r="C188" i="1"/>
  <c r="T187" i="1"/>
  <c r="S187" i="1"/>
  <c r="R187" i="1"/>
  <c r="C187" i="1"/>
  <c r="T186" i="1"/>
  <c r="S186" i="1"/>
  <c r="R186" i="1"/>
  <c r="C186" i="1"/>
  <c r="T185" i="1"/>
  <c r="S185" i="1"/>
  <c r="R185" i="1"/>
  <c r="C185" i="1"/>
  <c r="T184" i="1"/>
  <c r="S184" i="1"/>
  <c r="R184" i="1"/>
  <c r="C184" i="1"/>
  <c r="T183" i="1"/>
  <c r="S183" i="1"/>
  <c r="R183" i="1"/>
  <c r="C183" i="1"/>
  <c r="T182" i="1"/>
  <c r="S182" i="1"/>
  <c r="R182" i="1"/>
  <c r="C182" i="1"/>
  <c r="T181" i="1"/>
  <c r="S181" i="1"/>
  <c r="R181" i="1"/>
  <c r="C181" i="1"/>
  <c r="T180" i="1"/>
  <c r="S180" i="1"/>
  <c r="R180" i="1"/>
  <c r="C180" i="1"/>
  <c r="T179" i="1"/>
  <c r="S179" i="1"/>
  <c r="R179" i="1"/>
  <c r="C179" i="1"/>
  <c r="T178" i="1"/>
  <c r="S178" i="1"/>
  <c r="R178" i="1"/>
  <c r="C178" i="1"/>
  <c r="T177" i="1"/>
  <c r="S177" i="1"/>
  <c r="R177" i="1"/>
  <c r="C177" i="1"/>
  <c r="T176" i="1"/>
  <c r="S176" i="1"/>
  <c r="R176" i="1"/>
  <c r="C176" i="1"/>
  <c r="T175" i="1"/>
  <c r="S175" i="1"/>
  <c r="R175" i="1"/>
  <c r="C175" i="1"/>
  <c r="T174" i="1"/>
  <c r="S174" i="1"/>
  <c r="R174" i="1"/>
  <c r="C174" i="1"/>
  <c r="T173" i="1"/>
  <c r="S173" i="1"/>
  <c r="R173" i="1"/>
  <c r="C173" i="1"/>
  <c r="T172" i="1"/>
  <c r="S172" i="1"/>
  <c r="R172" i="1"/>
  <c r="C172" i="1"/>
  <c r="T171" i="1"/>
  <c r="S171" i="1"/>
  <c r="R171" i="1"/>
  <c r="C171" i="1"/>
  <c r="T170" i="1"/>
  <c r="S170" i="1"/>
  <c r="R170" i="1"/>
  <c r="C170" i="1"/>
  <c r="T169" i="1"/>
  <c r="S169" i="1"/>
  <c r="R169" i="1"/>
  <c r="C169" i="1"/>
  <c r="T168" i="1"/>
  <c r="S168" i="1"/>
  <c r="R168" i="1"/>
  <c r="C168" i="1"/>
  <c r="T167" i="1"/>
  <c r="S167" i="1"/>
  <c r="R167" i="1"/>
  <c r="C167" i="1"/>
  <c r="T166" i="1"/>
  <c r="S166" i="1"/>
  <c r="R166" i="1"/>
  <c r="C166" i="1"/>
  <c r="T165" i="1"/>
  <c r="S165" i="1"/>
  <c r="R165" i="1"/>
  <c r="C165" i="1"/>
  <c r="T164" i="1"/>
  <c r="S164" i="1"/>
  <c r="R164" i="1"/>
  <c r="C164" i="1"/>
  <c r="T163" i="1"/>
  <c r="S163" i="1"/>
  <c r="R163" i="1"/>
  <c r="C163" i="1"/>
  <c r="T162" i="1"/>
  <c r="S162" i="1"/>
  <c r="R162" i="1"/>
  <c r="C162" i="1"/>
  <c r="T161" i="1"/>
  <c r="S161" i="1"/>
  <c r="R161" i="1"/>
  <c r="C161" i="1"/>
  <c r="T160" i="1"/>
  <c r="S160" i="1"/>
  <c r="R160" i="1"/>
  <c r="C160" i="1"/>
  <c r="T159" i="1"/>
  <c r="S159" i="1"/>
  <c r="R159" i="1"/>
  <c r="C159" i="1"/>
  <c r="T158" i="1"/>
  <c r="S158" i="1"/>
  <c r="R158" i="1"/>
  <c r="C158" i="1"/>
  <c r="T157" i="1"/>
  <c r="S157" i="1"/>
  <c r="R157" i="1"/>
  <c r="C157" i="1"/>
  <c r="T156" i="1"/>
  <c r="S156" i="1"/>
  <c r="R156" i="1"/>
  <c r="C156" i="1"/>
  <c r="T155" i="1"/>
  <c r="S155" i="1"/>
  <c r="R155" i="1"/>
  <c r="C155" i="1"/>
  <c r="T154" i="1"/>
  <c r="S154" i="1"/>
  <c r="R154" i="1"/>
  <c r="C154" i="1"/>
  <c r="T153" i="1"/>
  <c r="S153" i="1"/>
  <c r="R153" i="1"/>
  <c r="C153" i="1"/>
  <c r="T152" i="1"/>
  <c r="S152" i="1"/>
  <c r="R152" i="1"/>
  <c r="C152" i="1"/>
  <c r="T151" i="1"/>
  <c r="S151" i="1"/>
  <c r="R151" i="1"/>
  <c r="C151" i="1"/>
  <c r="T150" i="1"/>
  <c r="S150" i="1"/>
  <c r="R150" i="1"/>
  <c r="C150" i="1"/>
  <c r="T149" i="1"/>
  <c r="S149" i="1"/>
  <c r="R149" i="1"/>
  <c r="C149" i="1"/>
  <c r="T148" i="1"/>
  <c r="S148" i="1"/>
  <c r="R148" i="1"/>
  <c r="C148" i="1"/>
  <c r="T147" i="1"/>
  <c r="S147" i="1"/>
  <c r="R147" i="1"/>
  <c r="C147" i="1"/>
  <c r="T146" i="1"/>
  <c r="S146" i="1"/>
  <c r="R146" i="1"/>
  <c r="C146" i="1"/>
  <c r="T145" i="1"/>
  <c r="S145" i="1"/>
  <c r="R145" i="1"/>
  <c r="C145" i="1"/>
  <c r="T144" i="1"/>
  <c r="S144" i="1"/>
  <c r="R144" i="1"/>
  <c r="C144" i="1"/>
  <c r="T143" i="1"/>
  <c r="S143" i="1"/>
  <c r="R143" i="1"/>
  <c r="C143" i="1"/>
  <c r="T142" i="1"/>
  <c r="S142" i="1"/>
  <c r="R142" i="1"/>
  <c r="C142" i="1"/>
  <c r="T141" i="1"/>
  <c r="S141" i="1"/>
  <c r="R141" i="1"/>
  <c r="C141" i="1"/>
  <c r="T140" i="1"/>
  <c r="S140" i="1"/>
  <c r="R140" i="1"/>
  <c r="C140" i="1"/>
  <c r="T139" i="1"/>
  <c r="S139" i="1"/>
  <c r="R139" i="1"/>
  <c r="C139" i="1"/>
  <c r="T138" i="1"/>
  <c r="S138" i="1"/>
  <c r="R138" i="1"/>
  <c r="C138" i="1"/>
  <c r="T137" i="1"/>
  <c r="S137" i="1"/>
  <c r="R137" i="1"/>
  <c r="C137" i="1"/>
  <c r="T136" i="1"/>
  <c r="S136" i="1"/>
  <c r="R136" i="1"/>
  <c r="C136" i="1"/>
  <c r="T135" i="1"/>
  <c r="S135" i="1"/>
  <c r="R135" i="1"/>
  <c r="C135" i="1"/>
  <c r="T134" i="1"/>
  <c r="S134" i="1"/>
  <c r="R134" i="1"/>
  <c r="C134" i="1"/>
  <c r="T133" i="1"/>
  <c r="S133" i="1"/>
  <c r="R133" i="1"/>
  <c r="C133" i="1"/>
  <c r="T132" i="1"/>
  <c r="S132" i="1"/>
  <c r="R132" i="1"/>
  <c r="C132" i="1"/>
  <c r="T131" i="1"/>
  <c r="S131" i="1"/>
  <c r="R131" i="1"/>
  <c r="C131" i="1"/>
  <c r="T130" i="1"/>
  <c r="S130" i="1"/>
  <c r="R130" i="1"/>
  <c r="C130" i="1"/>
  <c r="T129" i="1"/>
  <c r="S129" i="1"/>
  <c r="R129" i="1"/>
  <c r="C129" i="1"/>
  <c r="T128" i="1"/>
  <c r="S128" i="1"/>
  <c r="R128" i="1"/>
  <c r="C128" i="1"/>
  <c r="T127" i="1"/>
  <c r="S127" i="1"/>
  <c r="R127" i="1"/>
  <c r="C127" i="1"/>
  <c r="T126" i="1"/>
  <c r="S126" i="1"/>
  <c r="R126" i="1"/>
  <c r="C126" i="1"/>
  <c r="T125" i="1"/>
  <c r="S125" i="1"/>
  <c r="R125" i="1"/>
  <c r="C125" i="1"/>
  <c r="T124" i="1"/>
  <c r="S124" i="1"/>
  <c r="R124" i="1"/>
  <c r="C124" i="1"/>
  <c r="T123" i="1"/>
  <c r="S123" i="1"/>
  <c r="R123" i="1"/>
  <c r="C123" i="1"/>
  <c r="T122" i="1"/>
  <c r="S122" i="1"/>
  <c r="R122" i="1"/>
  <c r="C122" i="1"/>
  <c r="T121" i="1"/>
  <c r="S121" i="1"/>
  <c r="R121" i="1"/>
  <c r="C121" i="1"/>
  <c r="T120" i="1"/>
  <c r="S120" i="1"/>
  <c r="R120" i="1"/>
  <c r="C120" i="1"/>
  <c r="T119" i="1"/>
  <c r="S119" i="1"/>
  <c r="R119" i="1"/>
  <c r="C119" i="1"/>
  <c r="T118" i="1"/>
  <c r="S118" i="1"/>
  <c r="R118" i="1"/>
  <c r="C118" i="1"/>
  <c r="T117" i="1"/>
  <c r="S117" i="1"/>
  <c r="R117" i="1"/>
  <c r="C117" i="1"/>
  <c r="T116" i="1"/>
  <c r="S116" i="1"/>
  <c r="R116" i="1"/>
  <c r="C116" i="1"/>
  <c r="T115" i="1"/>
  <c r="S115" i="1"/>
  <c r="R115" i="1"/>
  <c r="C115" i="1"/>
  <c r="T114" i="1"/>
  <c r="S114" i="1"/>
  <c r="R114" i="1"/>
  <c r="C114" i="1"/>
  <c r="T113" i="1"/>
  <c r="S113" i="1"/>
  <c r="R113" i="1"/>
  <c r="C113" i="1"/>
  <c r="T112" i="1"/>
  <c r="S112" i="1"/>
  <c r="R112" i="1"/>
  <c r="C112" i="1"/>
  <c r="T111" i="1"/>
  <c r="S111" i="1"/>
  <c r="R111" i="1"/>
  <c r="C111" i="1"/>
  <c r="T110" i="1"/>
  <c r="S110" i="1"/>
  <c r="R110" i="1"/>
  <c r="C110" i="1"/>
  <c r="T109" i="1"/>
  <c r="S109" i="1"/>
  <c r="R109" i="1"/>
  <c r="C109" i="1"/>
  <c r="T108" i="1"/>
  <c r="S108" i="1"/>
  <c r="R108" i="1"/>
  <c r="C108" i="1"/>
  <c r="T107" i="1"/>
  <c r="S107" i="1"/>
  <c r="R107" i="1"/>
  <c r="C107" i="1"/>
  <c r="T106" i="1"/>
  <c r="S106" i="1"/>
  <c r="R106" i="1"/>
  <c r="C106" i="1"/>
  <c r="T105" i="1"/>
  <c r="S105" i="1"/>
  <c r="R105" i="1"/>
  <c r="C105" i="1"/>
  <c r="T104" i="1"/>
  <c r="S104" i="1"/>
  <c r="R104" i="1"/>
  <c r="C104" i="1"/>
  <c r="T103" i="1"/>
  <c r="S103" i="1"/>
  <c r="R103" i="1"/>
  <c r="C103" i="1"/>
  <c r="T102" i="1"/>
  <c r="S102" i="1"/>
  <c r="R102" i="1"/>
  <c r="C102" i="1"/>
  <c r="T101" i="1"/>
  <c r="S101" i="1"/>
  <c r="R101" i="1"/>
  <c r="C101" i="1"/>
  <c r="T100" i="1"/>
  <c r="S100" i="1"/>
  <c r="R100" i="1"/>
  <c r="C100" i="1"/>
  <c r="T99" i="1"/>
  <c r="S99" i="1"/>
  <c r="R99" i="1"/>
  <c r="C99" i="1"/>
  <c r="T98" i="1"/>
  <c r="S98" i="1"/>
  <c r="R98" i="1"/>
  <c r="C98" i="1"/>
  <c r="T97" i="1"/>
  <c r="S97" i="1"/>
  <c r="R97" i="1"/>
  <c r="C97" i="1"/>
  <c r="T96" i="1"/>
  <c r="S96" i="1"/>
  <c r="R96" i="1"/>
  <c r="C96" i="1"/>
  <c r="T95" i="1"/>
  <c r="S95" i="1"/>
  <c r="R95" i="1"/>
  <c r="C95" i="1"/>
  <c r="T94" i="1"/>
  <c r="S94" i="1"/>
  <c r="R94" i="1"/>
  <c r="C94" i="1"/>
  <c r="T93" i="1"/>
  <c r="S93" i="1"/>
  <c r="R93" i="1"/>
  <c r="C93" i="1"/>
  <c r="T92" i="1"/>
  <c r="S92" i="1"/>
  <c r="R92" i="1"/>
  <c r="C92" i="1"/>
  <c r="T91" i="1"/>
  <c r="S91" i="1"/>
  <c r="R91" i="1"/>
  <c r="C91" i="1"/>
  <c r="T90" i="1"/>
  <c r="S90" i="1"/>
  <c r="R90" i="1"/>
  <c r="C90" i="1"/>
  <c r="T89" i="1"/>
  <c r="S89" i="1"/>
  <c r="R89" i="1"/>
  <c r="C89" i="1"/>
  <c r="T88" i="1"/>
  <c r="S88" i="1"/>
  <c r="R88" i="1"/>
  <c r="C88" i="1"/>
  <c r="T87" i="1"/>
  <c r="S87" i="1"/>
  <c r="R87" i="1"/>
  <c r="C87" i="1"/>
  <c r="T86" i="1"/>
  <c r="S86" i="1"/>
  <c r="R86" i="1"/>
  <c r="C86" i="1"/>
  <c r="T85" i="1"/>
  <c r="S85" i="1"/>
  <c r="R85" i="1"/>
  <c r="C85" i="1"/>
  <c r="T84" i="1"/>
  <c r="S84" i="1"/>
  <c r="R84" i="1"/>
  <c r="C84" i="1"/>
  <c r="T83" i="1"/>
  <c r="S83" i="1"/>
  <c r="R83" i="1"/>
  <c r="C83" i="1"/>
  <c r="T82" i="1"/>
  <c r="S82" i="1"/>
  <c r="R82" i="1"/>
  <c r="C82" i="1"/>
  <c r="T81" i="1"/>
  <c r="S81" i="1"/>
  <c r="R81" i="1"/>
  <c r="C81" i="1"/>
  <c r="T80" i="1"/>
  <c r="S80" i="1"/>
  <c r="R80" i="1"/>
  <c r="C80" i="1"/>
  <c r="T79" i="1"/>
  <c r="S79" i="1"/>
  <c r="R79" i="1"/>
  <c r="C79" i="1"/>
  <c r="T78" i="1"/>
  <c r="S78" i="1"/>
  <c r="R78" i="1"/>
  <c r="C78" i="1"/>
  <c r="T77" i="1"/>
  <c r="S77" i="1"/>
  <c r="R77" i="1"/>
  <c r="C77" i="1"/>
  <c r="T76" i="1"/>
  <c r="S76" i="1"/>
  <c r="R76" i="1"/>
  <c r="C76" i="1"/>
  <c r="T75" i="1"/>
  <c r="S75" i="1"/>
  <c r="R75" i="1"/>
  <c r="C75" i="1"/>
  <c r="T74" i="1"/>
  <c r="S74" i="1"/>
  <c r="R74" i="1"/>
  <c r="C74" i="1"/>
  <c r="T73" i="1"/>
  <c r="S73" i="1"/>
  <c r="R73" i="1"/>
  <c r="C73" i="1"/>
  <c r="T72" i="1"/>
  <c r="S72" i="1"/>
  <c r="R72" i="1"/>
  <c r="C72" i="1"/>
  <c r="T71" i="1"/>
  <c r="S71" i="1"/>
  <c r="R71" i="1"/>
  <c r="C71" i="1"/>
  <c r="T70" i="1"/>
  <c r="S70" i="1"/>
  <c r="R70" i="1"/>
  <c r="C70" i="1"/>
  <c r="T69" i="1"/>
  <c r="S69" i="1"/>
  <c r="R69" i="1"/>
  <c r="C69" i="1"/>
  <c r="T68" i="1"/>
  <c r="S68" i="1"/>
  <c r="R68" i="1"/>
  <c r="C68" i="1"/>
  <c r="T67" i="1"/>
  <c r="S67" i="1"/>
  <c r="R67" i="1"/>
  <c r="C67" i="1"/>
  <c r="T66" i="1"/>
  <c r="S66" i="1"/>
  <c r="R66" i="1"/>
  <c r="C66" i="1"/>
  <c r="T65" i="1"/>
  <c r="S65" i="1"/>
  <c r="R65" i="1"/>
  <c r="C65" i="1"/>
  <c r="T64" i="1"/>
  <c r="S64" i="1"/>
  <c r="R64" i="1"/>
  <c r="C64" i="1"/>
  <c r="T63" i="1"/>
  <c r="S63" i="1"/>
  <c r="R63" i="1"/>
  <c r="C63" i="1"/>
  <c r="T62" i="1"/>
  <c r="S62" i="1"/>
  <c r="R62" i="1"/>
  <c r="C62" i="1"/>
  <c r="T61" i="1"/>
  <c r="S61" i="1"/>
  <c r="R61" i="1"/>
  <c r="C61" i="1"/>
  <c r="T60" i="1"/>
  <c r="S60" i="1"/>
  <c r="R60" i="1"/>
  <c r="C60" i="1"/>
  <c r="T59" i="1"/>
  <c r="S59" i="1"/>
  <c r="R59" i="1"/>
  <c r="C59" i="1"/>
  <c r="T58" i="1"/>
  <c r="S58" i="1"/>
  <c r="R58" i="1"/>
  <c r="C58" i="1"/>
  <c r="T57" i="1"/>
  <c r="S57" i="1"/>
  <c r="R57" i="1"/>
  <c r="C57" i="1"/>
  <c r="T56" i="1"/>
  <c r="S56" i="1"/>
  <c r="R56" i="1"/>
  <c r="C56" i="1"/>
  <c r="T55" i="1"/>
  <c r="S55" i="1"/>
  <c r="R55" i="1"/>
  <c r="C55" i="1"/>
  <c r="T54" i="1"/>
  <c r="S54" i="1"/>
  <c r="R54" i="1"/>
  <c r="C54" i="1"/>
  <c r="T53" i="1"/>
  <c r="S53" i="1"/>
  <c r="R53" i="1"/>
  <c r="C53" i="1"/>
  <c r="T52" i="1"/>
  <c r="S52" i="1"/>
  <c r="R52" i="1"/>
  <c r="C52" i="1"/>
  <c r="T51" i="1"/>
  <c r="S51" i="1"/>
  <c r="R51" i="1"/>
  <c r="C51" i="1"/>
  <c r="T50" i="1"/>
  <c r="S50" i="1"/>
  <c r="R50" i="1"/>
  <c r="C50" i="1"/>
  <c r="T49" i="1"/>
  <c r="S49" i="1"/>
  <c r="R49" i="1"/>
  <c r="C49" i="1"/>
  <c r="T48" i="1"/>
  <c r="S48" i="1"/>
  <c r="R48" i="1"/>
  <c r="C48" i="1"/>
  <c r="T47" i="1"/>
  <c r="S47" i="1"/>
  <c r="R47" i="1"/>
  <c r="C47" i="1"/>
  <c r="T46" i="1"/>
  <c r="S46" i="1"/>
  <c r="R46" i="1"/>
  <c r="C46" i="1"/>
  <c r="T45" i="1"/>
  <c r="S45" i="1"/>
  <c r="R45" i="1"/>
  <c r="C45" i="1"/>
  <c r="T44" i="1"/>
  <c r="S44" i="1"/>
  <c r="R44" i="1"/>
  <c r="C44" i="1"/>
  <c r="T43" i="1"/>
  <c r="S43" i="1"/>
  <c r="R43" i="1"/>
  <c r="C43" i="1"/>
  <c r="T42" i="1"/>
  <c r="S42" i="1"/>
  <c r="R42" i="1"/>
  <c r="C42" i="1"/>
  <c r="T41" i="1"/>
  <c r="S41" i="1"/>
  <c r="R41" i="1"/>
  <c r="C41" i="1"/>
  <c r="T40" i="1"/>
  <c r="S40" i="1"/>
  <c r="R40" i="1"/>
  <c r="C40" i="1"/>
  <c r="T39" i="1"/>
  <c r="S39" i="1"/>
  <c r="R39" i="1"/>
  <c r="C39" i="1"/>
  <c r="T38" i="1"/>
  <c r="S38" i="1"/>
  <c r="R38" i="1"/>
  <c r="C38" i="1"/>
  <c r="T37" i="1"/>
  <c r="S37" i="1"/>
  <c r="R37" i="1"/>
  <c r="C37" i="1"/>
  <c r="T36" i="1"/>
  <c r="S36" i="1"/>
  <c r="R36" i="1"/>
  <c r="C36" i="1"/>
  <c r="T35" i="1"/>
  <c r="S35" i="1"/>
  <c r="R35" i="1"/>
  <c r="C35" i="1"/>
  <c r="T34" i="1"/>
  <c r="S34" i="1"/>
  <c r="R34" i="1"/>
  <c r="C34" i="1"/>
  <c r="T33" i="1"/>
  <c r="S33" i="1"/>
  <c r="R33" i="1"/>
  <c r="C33" i="1"/>
  <c r="T32" i="1"/>
  <c r="S32" i="1"/>
  <c r="R32" i="1"/>
  <c r="C32" i="1"/>
  <c r="T31" i="1"/>
  <c r="S31" i="1"/>
  <c r="R31" i="1"/>
  <c r="C31" i="1"/>
  <c r="T30" i="1"/>
  <c r="S30" i="1"/>
  <c r="R30" i="1"/>
  <c r="C30" i="1"/>
  <c r="T29" i="1"/>
  <c r="S29" i="1"/>
  <c r="R29" i="1"/>
  <c r="C29" i="1"/>
  <c r="T28" i="1"/>
  <c r="S28" i="1"/>
  <c r="R28" i="1"/>
  <c r="C28" i="1"/>
  <c r="T27" i="1"/>
  <c r="S27" i="1"/>
  <c r="R27" i="1"/>
  <c r="C27" i="1"/>
  <c r="T26" i="1"/>
  <c r="S26" i="1"/>
  <c r="R26" i="1"/>
  <c r="C26" i="1"/>
  <c r="T25" i="1"/>
  <c r="S25" i="1"/>
  <c r="R25" i="1"/>
  <c r="C25" i="1"/>
  <c r="T24" i="1"/>
  <c r="S24" i="1"/>
  <c r="R24" i="1"/>
  <c r="C24" i="1"/>
  <c r="T23" i="1"/>
  <c r="S23" i="1"/>
  <c r="R23" i="1"/>
  <c r="C23" i="1"/>
  <c r="T22" i="1"/>
  <c r="S22" i="1"/>
  <c r="R22" i="1"/>
  <c r="C22" i="1"/>
  <c r="T21" i="1"/>
  <c r="S21" i="1"/>
  <c r="R21" i="1"/>
  <c r="C21" i="1"/>
  <c r="T20" i="1"/>
  <c r="S20" i="1"/>
  <c r="R20" i="1"/>
  <c r="C20" i="1"/>
  <c r="T19" i="1"/>
  <c r="S19" i="1"/>
  <c r="R19" i="1"/>
  <c r="C19" i="1"/>
  <c r="T18" i="1"/>
  <c r="S18" i="1"/>
  <c r="R18" i="1"/>
  <c r="C18" i="1"/>
  <c r="T17" i="1"/>
  <c r="S17" i="1"/>
  <c r="R17" i="1"/>
  <c r="C17" i="1"/>
  <c r="T16" i="1"/>
  <c r="S16" i="1"/>
  <c r="R16" i="1"/>
  <c r="C16" i="1"/>
  <c r="T15" i="1"/>
  <c r="S15" i="1"/>
  <c r="R15" i="1"/>
  <c r="C15" i="1"/>
  <c r="T14" i="1"/>
  <c r="S14" i="1"/>
  <c r="R14" i="1"/>
  <c r="C14" i="1"/>
  <c r="T13" i="1"/>
  <c r="S13" i="1"/>
  <c r="R13" i="1"/>
  <c r="C13" i="1"/>
  <c r="T12" i="1"/>
  <c r="S12" i="1"/>
  <c r="R12" i="1"/>
  <c r="C12" i="1"/>
  <c r="T11" i="1"/>
  <c r="S11" i="1"/>
  <c r="R11" i="1"/>
  <c r="C11" i="1"/>
  <c r="T10" i="1"/>
  <c r="S10" i="1"/>
  <c r="R10" i="1"/>
  <c r="C10" i="1"/>
  <c r="T9" i="1"/>
  <c r="S9" i="1"/>
  <c r="R9" i="1"/>
  <c r="C9" i="1"/>
  <c r="T8" i="1"/>
  <c r="S8" i="1"/>
  <c r="R8" i="1"/>
  <c r="C8" i="1"/>
  <c r="T7" i="1"/>
  <c r="S7" i="1"/>
  <c r="R7" i="1"/>
  <c r="C7" i="1"/>
  <c r="T6" i="1"/>
  <c r="R6" i="1"/>
  <c r="C6" i="1"/>
  <c r="T5" i="1"/>
  <c r="R5" i="1"/>
  <c r="C5" i="1"/>
  <c r="T4" i="1"/>
  <c r="S4" i="1"/>
  <c r="R4" i="1"/>
  <c r="C4" i="1"/>
  <c r="T3" i="1"/>
  <c r="S3" i="1"/>
  <c r="R3" i="1"/>
  <c r="C3" i="1"/>
  <c r="T2" i="1"/>
  <c r="S2" i="1"/>
  <c r="R2" i="1"/>
  <c r="C2" i="1"/>
</calcChain>
</file>

<file path=xl/sharedStrings.xml><?xml version="1.0" encoding="utf-8"?>
<sst xmlns="http://schemas.openxmlformats.org/spreadsheetml/2006/main" count="38450" uniqueCount="5661">
  <si>
    <t>Notifying Member</t>
  </si>
  <si>
    <t>Distribution date</t>
  </si>
  <si>
    <t>Document symbol</t>
  </si>
  <si>
    <t>Title</t>
  </si>
  <si>
    <t>Description</t>
  </si>
  <si>
    <t>Products covered</t>
  </si>
  <si>
    <t>HS code(s)</t>
  </si>
  <si>
    <t>ICS code(s)</t>
  </si>
  <si>
    <t>Objectives</t>
  </si>
  <si>
    <t>Objectives free text</t>
  </si>
  <si>
    <t>Keywords</t>
  </si>
  <si>
    <t>Specific regions or countries likely to be affected</t>
  </si>
  <si>
    <t>Final date for comments</t>
  </si>
  <si>
    <t>Proposed adoption  date</t>
  </si>
  <si>
    <t>Proposed entry  into  force date</t>
  </si>
  <si>
    <t>Notification type</t>
  </si>
  <si>
    <t>Notified document</t>
  </si>
  <si>
    <t>Link to notification(EN)</t>
  </si>
  <si>
    <t>Link to notification(FR)</t>
  </si>
  <si>
    <t>Link to notification(ES)</t>
  </si>
  <si>
    <t>Technical Regulation (Article 2.9.2)</t>
  </si>
  <si>
    <t>Technical Regulation - urgent (Article 2.10.1)</t>
  </si>
  <si>
    <t>Conformity Assessment Procedure (Article 5.6.2)</t>
  </si>
  <si>
    <t>Conformity Assessment Procedure - urgent  (Article 5.7.1)</t>
  </si>
  <si>
    <t>Technical Regulation - local government (Article 3.2)</t>
  </si>
  <si>
    <t>Conformity Assessment Procedure - local government (Article 7.2)</t>
  </si>
  <si>
    <t>Other</t>
  </si>
  <si>
    <t>Relevant documents</t>
  </si>
  <si>
    <t>Codex Alimentarius Commission</t>
  </si>
  <si>
    <t>World Organization for Animal Health (OIE)</t>
  </si>
  <si>
    <t>International Plant Protection Convention</t>
  </si>
  <si>
    <t>None</t>
  </si>
  <si>
    <t>Does this proposed regulation conform to the relevant international standard?</t>
  </si>
  <si>
    <t>If no, describe, whenever possible how and why it deviates from the international standard</t>
  </si>
  <si>
    <t>Myanmar</t>
  </si>
  <si>
    <t>Notification for Business Operators to Follow When Displaying the Food Product Code on Product Labels </t>
  </si>
  <si>
    <t>This notification is to inform WTO Members that, pursuant to Notification (1/2026) and in accordance with the implementation of the e-submission system under the Department of Food and Drug Administration of the Ministry of Health, food business operators are required to display the Food Product Code on the labels of all pre-packaged food products (HS Code 15–22). The Food Product Code shall be obtained through the online Food Product Notification system and may be presented on the product label by direct printing, sticker application, or QR code. This measure is introduced to enhance consumer verification, strengthen traceability and risk-based control, and facilitate market access and international trade. Non-compliance after the prescribed grace period of one year and six months will be subject to action in accordance with Section 31 of the National Food Law.</t>
  </si>
  <si>
    <t>All pre-packaged food products (HS Code – 15 to 22)</t>
  </si>
  <si>
    <t>15 - ANIMAL, VEGETABLE OR MICROBIAL FATS AND OILS AND THEIR CLEAVAGE PRODUCTS; PREPARED EDIBLE FATS; ANIMAL OR VEGETABLE WAXES; 16 - PREPARATIONS OF MEAT, OF FISH, OF CRUSTACEANS, MOLLUSCS OR OTHER AQUATIC INVERTEBRATES, OR OF INSECTS; 17 - SUGARS AND SUGAR CONFECTIONERY; 18 - COCOA AND COCOA PREPARATIONS; 19 - PREPARATIONS OF CEREALS, FLOUR, STARCH OR MILK; PASTRYCOOKS' PRODUCTS; 20 - PREPARATIONS OF VEGETABLES, FRUIT, NUTS OR OTHER PARTS OF PLANTS; 21 - MISCELLANEOUS EDIBLE PREPARATIONS; 22 - BEVERAGES, SPIRITS AND VINEGAR; 15 - ANIMAL, VEGETABLE OR MICROBIAL FATS AND OILS AND THEIR CLEAVAGE PRODUCTS; PREPARED EDIBLE FATS; ANIMAL OR VEGETABLE WAXES; 16 - PREPARATIONS OF MEAT, OF FISH, OF CRUSTACEANS, MOLLUSCS OR OTHER AQUATIC INVERTEBRATES, OR OF INSECTS; 17 - SUGARS AND SUGAR CONFECTIONERY; 18 - COCOA AND COCOA PREPARATIONS; 19 - PREPARATIONS OF CEREALS, FLOUR, STARCH OR MILK; PASTRYCOOKS' PRODUCTS; 20 - PREPARATIONS OF VEGETABLES, FRUIT, NUTS OR OTHER PARTS OF PLANTS; 21 - MISCELLANEOUS EDIBLE PREPARATIONS; 22 - BEVERAGES, SPIRITS AND VINEGAR</t>
  </si>
  <si>
    <t>67.230 - Prepackaged and prepared foods; 67.230 - Prepackaged and prepared foods</t>
  </si>
  <si>
    <t>Consumer information, labelling (TBT); Prevention of deceptive practices and consumer protection (TBT); Other (TBT)</t>
  </si>
  <si>
    <t>(a)  To enable the consumers to easily verify the Food Product Code on labels, thereby facilitating the selection and consumption of accountable food.(b)  To improve the reputation of the product and market access for the international trades.(c)   To enable the Food and Drug Authority Committees to obtain advantages such as traceability on the pre-packaged foods and quickly take action based on the risk level of the food products</t>
  </si>
  <si>
    <t>Labelling; Labelling</t>
  </si>
  <si>
    <t/>
  </si>
  <si>
    <t>Addendum to Regular Notification</t>
  </si>
  <si>
    <r>
      <rPr>
        <sz val="11"/>
        <rFont val="Calibri"/>
      </rPr>
      <t>https://members.wto.org/crnattachments/2026/TBT/MMR/26_01561_00_x.pdf</t>
    </r>
  </si>
  <si>
    <t>No</t>
  </si>
  <si>
    <t>Canada</t>
  </si>
  <si>
    <t>Publication of SRSP-300-Gen, Issue 2, General Technical Requirements for Fixed Radio Systems Operating in Frequency Bands above 960 MHz, and SRSP-301.7, Issue 5, Technical Requirements for Fixed Radio Systems Operating in the Bands 1700-1710 MHz and 1780-1850 MHz</t>
  </si>
  <si>
    <t>Notice is hereby given that Innovation, Science and Economic Development Canada (ISED) has published the following documents:Standard Radio System Plans SRSP-300-Gen, Issue 2, which establishes General Technical Requirements for Fixed Radio Systems Operating in Frequency Bands above 960 MHzStandard Radio System Plans SRSP-301.7, Issue 5, which establishes Technical Requirements for Fixed Radio Systems Operating in the Bands 1700-1710 MHz and 1780-1850 MHz</t>
  </si>
  <si>
    <t>Telecommunications (ICS 33.170)</t>
  </si>
  <si>
    <t>33.170 - Television and radio broadcasting; 33.170 - Television and radio broadcasting</t>
  </si>
  <si>
    <t>Other (TBT)</t>
  </si>
  <si>
    <t>Consultation</t>
  </si>
  <si>
    <t>Australia</t>
  </si>
  <si>
    <t>Proposal to amend Schedule 20 of the revised Australia New Zealand Food Standards Code (10 March 2026)</t>
  </si>
  <si>
    <t>This Proposal seeks to amend the Australia New Zealand Food Standards Code to align the following maximum residue limits (MRLs) for various agricultural and veterinary chemicals so that they are consistent with other national regulations relating to the safe and effective use of agricultural and veterinary chemicals:Azoxystrobin, Cyclaniliprole, Cyclobutrifluram, Cyprodinil, Fluopyram and Metarylpicoxamid in specified plant commodities;Cyclobutrifluram, Metarylpicoxamid and Tiafenacil in specified animal commodities.</t>
  </si>
  <si>
    <t>Foods in general</t>
  </si>
  <si>
    <t>Food safety (SPS)</t>
  </si>
  <si>
    <t>Maximum residue limits (MRLs); Food safety; Animal feed</t>
  </si>
  <si>
    <t>Adoption anticipated May 2026.</t>
  </si>
  <si>
    <t>Entry into force anticipated May 2026.</t>
  </si>
  <si>
    <t>Regular notification</t>
  </si>
  <si>
    <r>
      <rPr>
        <sz val="11"/>
        <rFont val="Calibri"/>
      </rPr>
      <t>https://www.apvma.gov.au/sites/default/files/2026-03/Gazette%20No%205%20-%20Tuesday%2010%20March%202026.pdf</t>
    </r>
  </si>
  <si>
    <t>Yes</t>
  </si>
  <si>
    <t>Certain proposed limits may differ from Codex limits.
The scientific methodology used by Australia to establish MRLs is consistent with international best practice and follows a rigorous scientific risk analysis including dietary exposure assessment to chemical residues from potentially treated foods. Countries set MRLs according to the good agricultural practice (GAP) or good veterinary practice (GVP) applicable to their region.  Agricultural and veterinary chemical use patterns differ between different production regions and countries as pests, diseases and environmental factors vary.  This means that Australian MRLs for agricultural and veterinary chemicals in food may differ from Codex standards. Australia’s residues assessment processes for agricultural chemicals are available at: https://apvma.gov.au/node/1037.  Australia’s residues assessment processes for veterinary chemicals are available at: https://apvma.gov.au/node/719.</t>
  </si>
  <si>
    <t>Moldova, Republic of</t>
  </si>
  <si>
    <t>Order No. 127 of 13 March 2026 on the partial derogation from the temporary suspension of imports of poultry meat and poultry meat products from Ukraine</t>
  </si>
  <si>
    <t>This addendum concerns the SPS notification G/SPS/N/MDA/33 regarding the temporary suspension of imports of poultry meat and poultry by-products and products containing poultry meat from Ukraine. Following additional investigations and guarantees provided by the competent authority of Ukraine, the Republic of Moldova has amended the scope of the measure established by Order No. 48 of 26 January 2026. According to the Order No. 127 of 13 March 2026, the temporary suspension of imports of poultry meat and products containing poultry meat originating from Ukraine remains in force for all establishments in Ukraine, with the exception of the establishment listed in the Annex to the Order, which is authorised to export poultry meat to the Republic of Moldova.</t>
  </si>
  <si>
    <t>Meat and edible meat offal (HS code(s): 02); Products of animal origin, not elsewhere specified or included (HS code(s): 05); Preparations of meat, of fish, of crustaceans, molluscs or other aquatic invertebrates, or of insects (HS code(s): 16) in particular the following HS codes: 1601, 1602, 0207, 0504</t>
  </si>
  <si>
    <t>02 - MEAT AND EDIBLE MEAT OFFAL; 0207 - Meat and edible offal of fowls of the species Gallus domesticus, ducks, geese, turkeys and guinea fowls, fresh, chilled or frozen; 05 - PRODUCTS OF ANIMAL ORIGIN, NOT ELSEWHERE SPECIFIED OR INCLUDED; 0504 - Guts, bladders and stomachs of animals (other than fish), whole and pieces thereof, fresh, chilled, frozen, salted, in brine, dried or smoked.; 16 - PREPARATIONS OF MEAT, OF FISH, OF CRUSTACEANS, MOLLUSCS OR OTHER AQUATIC INVERTEBRATES, OR OF INSECTS; 1601 - Sausages and similar products, of meat, meat offal, blood or insects; food preparations based on these products.; 1602 - Prepared or preserved meat, meat offal, blood or insects (excl. sausages and similar products, and meat extracts and juices); 16 - PREPARATIONS OF MEAT, OF FISH, OF CRUSTACEANS, MOLLUSCS OR OTHER AQUATIC INVERTEBRATES, OR OF INSECTS; 02 - MEAT AND EDIBLE MEAT OFFAL; 05 - PRODUCTS OF ANIMAL ORIGIN, NOT ELSEWHERE SPECIFIED OR INCLUDED; 0207 - Meat and edible offal of fowls of the species Gallus domesticus, ducks, geese, turkeys and guinea fowls, fresh, chilled or frozen; 0504 - Guts, bladders and stomachs of animals (other than fish), whole and pieces thereof, fresh, chilled, frozen, salted, in brine, dried or smoked.; 1601 - Sausages and similar products, of meat, meat offal, blood or insects; food preparations based on these products.; 1602 - Prepared or preserved meat, meat offal, blood or insects (excl. sausages and similar products, and meat extracts and juices)</t>
  </si>
  <si>
    <t>Modification of content/scope of regulation; Human health; Food safety; Human health; Food safety</t>
  </si>
  <si>
    <t>Addendum to Emergency Notification (SPS)</t>
  </si>
  <si>
    <r>
      <rPr>
        <sz val="11"/>
        <rFont val="Calibri"/>
      </rPr>
      <t>https://members.wto.org/crnattachments/2026/SPS/MDA/26_01556_00_x.pdf
https://members.wto.org/crnattachments/2026/SPS/MDA/26_01556_00_e.pdf
https://ansa.gov.md/sites/default/files/2026-03/Ordin%20ANSA%20nr.%20127%20din%20data%20de%2013%20martie%202026.pdf</t>
    </r>
  </si>
  <si>
    <t>India</t>
  </si>
  <si>
    <t>Notification for Test Guide for "IoT Gateway" (Draft Test Guide No. TEC 33011:2026)</t>
  </si>
  <si>
    <t>This proposed Test Guide document enumerates detailed test schedule and test procedure for evaluating conformance / functionality / requirements / performance of IoT Gateway, working on wired or wireless (cellular/ non cellular) communication technologies including short range technologies (NFC, RFID etc.) that are used for translation from one protocol to another and accessing Cellular/Non-Cellular Communication Network, as per GR No. TEC 33010:2025.</t>
  </si>
  <si>
    <t>Telecommunications</t>
  </si>
  <si>
    <t>The proposed draft new Test Guide for "IoT Gateway" will provide testing agencies the detailed test schedule and test procedure to test “IoT gateway” as per GR No. TEC 33010:2025.</t>
  </si>
  <si>
    <t>To be determined</t>
  </si>
  <si>
    <r>
      <rPr>
        <sz val="11"/>
        <rFont val="Calibri"/>
      </rPr>
      <t>https://members.wto.org/crnattachments/2026/TBT/IND/26_01568_00_e.pdf
https://www.tec.gov.in/pdf/consultations/Draft%20Test%20Guide%20of%20IoT%20Gateway_02.03.2026.pdf</t>
    </r>
  </si>
  <si>
    <t>Proposed draft new Test Guide for "IoT Gateway" (Draft Test Guide No. TEC 33011:2026)https://www.tec.gov.in/pdf/consultations/Draft%20Test%20Guide%20of%20IoT%20Gateway_02.03.2026.pdf</t>
  </si>
  <si>
    <t>Japan</t>
  </si>
  <si>
    <t>Partial Amendment of the Regulation for Radio Equipment, etc.</t>
  </si>
  <si>
    <t>The revisions announced in G/TBT/N/JPN/886 dated 20 November, 2025 will enter into force on 25 March,2026. The texts of the amendments in Japanese are available on the following: Website of the Ministry of Internal Affairs and Communications.https://www.soumu.go.jp/menu_hourei/s_shourei.html</t>
  </si>
  <si>
    <t>Radio equipment for the advanced Fixed Wireless Access(FWA) system(22GHz band)</t>
  </si>
  <si>
    <t>33.060 - Radiocommunications; 33.060 - Radiocommunications</t>
  </si>
  <si>
    <t>With the full-fledged arrival of the 5G era, a significant increase in traffic is expected in the future. In order to meet the anticipated increase in demand, the 26GHz and 40GHz bands will be allocated to mobile networks, necessitating the frequency migration of existing radio systems currently using these bands. As the number of radio stations for the Fixed Wireless Access (FWA) system (22GHz band) is small compared to other frequency bands, the 22GHz band is a candidate for the frequency migration of existing radio systems. Japan will establish technical standards necessary for the “advanced” FWA system (22GHz band) to maintain stable transmission speed regardless of weather conditions as the 22GHz band is susceptible to rain and fog.</t>
  </si>
  <si>
    <r>
      <rPr>
        <sz val="11"/>
        <rFont val="Calibri"/>
      </rPr>
      <t>Ministerial Ordinance on partial revision of the Regulation for Radio Equipment 
etc.(Ministerial Ordinance of Ministry of Internal Affairs and Communications
 No.29 of 2026.) (Available in Japanese.)
https://www.soumu.go.jp/menu_hourei/s_shourei.html</t>
    </r>
  </si>
  <si>
    <t>Costa Rica</t>
  </si>
  <si>
    <t>Proyecto de Resolución para regular la importación de plantas in vitro de Aguacate (Persea americana) para propagación originarias de Israel (Draft Resolution regulating the importation of in vitro avocado (Persea americana) plants for propagation originating in Israel)</t>
  </si>
  <si>
    <t>The notified draft Resolution establishes the phytosanitary measures governing the importation of in vitro avocado (Persea americana) plants for propagation originating in Israel.</t>
  </si>
  <si>
    <t>In vitro avocado (Persea americana) plants for propagation (HS code: 0602)</t>
  </si>
  <si>
    <t>0602 - Live plants incl. their roots, cuttings and slips; mushroom spawn (excl. bulbs, tubers, tuberous roots, corms, crowns and rhizomes, and chicory plants and roots)</t>
  </si>
  <si>
    <t>Plant protection (SPS); Protect territory from other damage from pests (SPS)</t>
  </si>
  <si>
    <t>Territory protection</t>
  </si>
  <si>
    <t>Israel</t>
  </si>
  <si>
    <t>This Resolution will enter into force upon signature.</t>
  </si>
  <si>
    <r>
      <rPr>
        <sz val="11"/>
        <rFont val="Calibri"/>
      </rPr>
      <t>https://members.wto.org/crnattachments/2026/SPS/CRI/26_01562_00_s.pdf</t>
    </r>
  </si>
  <si>
    <t>Not applicable</t>
  </si>
  <si>
    <t>Thailand</t>
  </si>
  <si>
    <t>The DLD order on temporary suspension of importation or transit of live poultry and poultry carcasses from the Netherlands to prevent the spread of Highly Pathogenic Avian Influenza</t>
  </si>
  <si>
    <t>The WOAH has reported an outbreak of Highly Pathogenic Avian Influenza (Subtype H5N1) in the area of the Netherlands. Therefore, it is necessary for Thailand to prevent the entry of Highly Pathogenic Avian Influenza (Subtype H5N1) into the country. By the virtue of the Animal Epidemics Act B.E. 2558 (2015), the importation or transit of live poultry and poultry carcasses from the Netherlandshas been temporarily suspended.Where live poultry and poultry carcasses from the Netherlands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poultry or poultry carcasses into or through Thailand.</t>
  </si>
  <si>
    <t>Live poultry and poultry carcasses under Animal Epidemics Act B.E. 2558 (2015)</t>
  </si>
  <si>
    <t>Animal health (SPS)</t>
  </si>
  <si>
    <t>Animal health; Avian Influenza; Pests</t>
  </si>
  <si>
    <t>Netherlands</t>
  </si>
  <si>
    <t>Emergency notifications (SPS)</t>
  </si>
  <si>
    <t>Rwanda</t>
  </si>
  <si>
    <t>DRS 365: 2026, Installation of electric lift — Safety requirements</t>
  </si>
  <si>
    <t>This Rwanda standard specifies the safety requirements for the installation of permanently new electric lifts with a car designed for the transportation of persons and/or goods, suspended by ropes or chains and moving between guide rails inclined not more than 15° to the vertical.</t>
  </si>
  <si>
    <t>Lifts. Escalators (ICS code(s): 91.140.90)</t>
  </si>
  <si>
    <t>91.140.90 - Lifts. Escalators</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</si>
  <si>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</si>
  <si>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t>6 months from adoption</t>
  </si>
  <si>
    <r>
      <rPr>
        <sz val="11"/>
        <rFont val="Calibri"/>
      </rPr>
      <t>https://members.wto.org/crnattachments/2026/TBT/RWA/26_01529_00_e.pdf</t>
    </r>
  </si>
  <si>
    <t>ISO 8100-30:2019, Lift (Elevator) installation — Part 1: Class I, II, III and VI liftsRS ISO 4190-2, Lift (US: Elevator) installation — Part 2: Class IV liftsRS ISO 4190-3, Passenger lift installations - Part 3: Service lifts class VISO 4190-5:2006, Lift (Elevator) installation — Part 5: Control devices, signals and additional FittingsISO 8100-32:2020, Lifts and service lifts (USA: elevators and dumbwaiters) — Part 6: Passenger lifts to be installed in residential buildings — Planning and selectionRS ISO 13857: 2019, Safety of machinery — Safety distances to prevent hazard zones being reached by upper and lower limbsRS IEC 60947-4-1, Low-voltage switchgear and controlgear — Part 4: Contactors and motor-starters —Section 1: Electromechanical contactors and motor-starters.RS IEC 60947-5-1, Low-voltage switchgear and controlgear — Part 5: Control circuit devices and switching elements —Section 1: Electromechanical control circuit devices.IEC 61000-4, Electromagnetic compatibility (EMC) —Part 4: Testing and measurement techniquesRS IEC 60227-6 Polyvinyl chloride insulated cables of rated voltages up to and including 450/750 V - Part 6: Lift cables and cables for flexible connectionsRS 186-2, Code of practice for fire safety of building — Part 2: Details of construction</t>
  </si>
  <si>
    <t>Proyecto de Resolución para regular la importación de frutas de Granada (Punica granatum) para consumo fresco originarias de Turquía (Draft Resolution governing the importation, for consumption, of fresh pomegranates (Punica granatum) originating in Türkiye)</t>
  </si>
  <si>
    <t>The notified draft Resolution establishes the phytosanitary measures for the importation, for consumption, of fresh pomegranates (Punica granatum) originating in Türkiye</t>
  </si>
  <si>
    <t>Fresh pomegranates (Punica granatum) for consumption (HS code: 081090)</t>
  </si>
  <si>
    <t>081090 - 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t>
  </si>
  <si>
    <t>Plant health; Territory protection</t>
  </si>
  <si>
    <t>Türkiye</t>
  </si>
  <si>
    <r>
      <rPr>
        <sz val="11"/>
        <rFont val="Calibri"/>
      </rPr>
      <t>https://members.wto.org/crnattachments/2026/SPS/CRI/26_01536_00_s.pdf</t>
    </r>
  </si>
  <si>
    <t>Kenya</t>
  </si>
  <si>
    <t>DKS 662-7: 2026 Requirements for electrical installations Part 7: Special Installations or Locations</t>
  </si>
  <si>
    <t>This part of KS 662 provides additional guidance on safety for installations in environments where the usual risks are elevated, whether from water, heat, or other special conditions. It complements the general safety rules found in other parts of KS 662 but adds more stringent or tailored requirements for certain locations</t>
  </si>
  <si>
    <t>Electricity supply systems (ICS code(s): 91.140.50)</t>
  </si>
  <si>
    <t>91.140.50 - Electricity supply systems</t>
  </si>
  <si>
    <t>Quality requirements (TBT)</t>
  </si>
  <si>
    <r>
      <rPr>
        <sz val="11"/>
        <rFont val="Calibri"/>
      </rPr>
      <t>https://members.wto.org/crnattachments/2026/TBT/KEN/26_01522_00_e.pdf</t>
    </r>
  </si>
  <si>
    <t>KS IEC 60335-2-41,Household and similar electrical appliances - Safety - Part 2-41: Particular requirements for pumpsKS IEC 60335-2-76,Household and similar electrical appliances-Safety, part 2-76: Particular requirements for electric fence energizersKS IEC 61439-4,Low-voltage switchgear and controlgear assemblies Part 4: Particular requirements for assemblies for construction sites (ACS).KS IEC 60529, Degrees of protection provided by enclosures (IP Code)KS IEC 60598-2-18,Luminaires - Part 2-18: Particular requirements - Luminaires for swimming pools and similar applicationsKS IEC 60598-2-1,Luminaires - Part 2-1: Particular requirements - Fixed general-purpose luminairesKS IEC 60309-2,Plugs, fixed or portable socket-outlets and appliance inlets for industrial purposes - Part 2:Dimensional compatibility requirements for pin and contact-tube accessoriesKS IEC 60309-2,Plugs, fixed or portable socket-outlets and appliance inlets for industrial purposesKS IEC 60502,Power cables with extruded insulation and their accessories for rated voltages from 1 kV (Um = 1,2 kV) up to 30 kV (Um = 36 kV) - ALL PARTSISO 11446-1, Road vehicles — Connectors for the electrical connection of towing and towed vehiclesIEC 60529, Degrees of protection by enclosures (IP Code)IEC 61558-2-4,Safety of transformers, reactors, power supply units and combinations thereof - Part 2-4: Particular requirements and tests for isolating transformers and power supply units incorporating isolating transformers for general applicationsIEC 61439,Low-voltage switchgear and controlgear assembliesIEC 62262,Degrees of protection provided by enclosures for electrical equipment against external mechanical impacts (IK code)IEC 61008-1,Residual current operated circuit-breakers without integral overcurrent protection for household and similar uses (RCCBs) - Part 1: General rulesIEC 61009-1,Residual current operated circuit-breakers with integral overcurrent protection for household and similar uses (RCBOs) - Part 1: General rulesIEC 62423,Type F and type B residual current operated circuit-breakers with and without integral overcurrent protection for household and similar usesIEC 60721-3-3,Classification of environmental conditions - Part 3-3: Classification of groups of environmental parameters and their severities - Stationary use at weather protected locationsKS IEC 60309-1,Plugs, fixed or portable socket-outlets and appliance inlets for industrial purposes - Part 1: General requirementsKS IEC 60309-4,Plugs, fixed or portable socket-outlets and appliance inlets for industrial purposes - Part 4: Switched socket-outlets with or without interlockKS IEC 60309-2,Plugs, fixed or portable socket-outlets and appliance inlets for industrial purposesKS IEC 61386,Conduit systems for cable managementIEC 61537,Cable management - Cable tray systems and cable ladder systemsKS IEC 61558-2-6,Specification for safety of transformers, power supply units and similar apparatus - Part 2-6: Particular requirements for safety isolating transformers for general use.IEC 62305-1,Protection against lightning - Part 1: General principlesKS IEC 61140,Protection against electric shock - Common aspects for installation and equipmentKS IEC 61558-2-5,Safety of power transformers, power supplies, reactors and similar products Part 2-5: Particular requirements and test for transformer for shavers, power supply units for shavers and shaver supplyKS IEC 60598-2-24,Luminaires - Part 2: Particular requirementsKS IEC 61439-7,Low-voltage switchgear and controlgear assemblies Part 7: Assemblies for specific Page | 2 applications such as marinas, camping sites, market squares, electric vehicle charging stationsIEC 60092-507,Electrical installations in ships - Part 507: Small vesselsKS IEC 60601-2,Medical electrical equipmentKS IEC 61008-2-2,Residual current operated circuit-breakers without integral overcurrent protection for household and similar uses (RCCB's)KS IEC 61009-2-1,Residual current operated circuit-breakers with integral overcurrent protection for household and similar uses (RCBOs)IEC 61347-1,Controlgear for electric light sources - Safety - Part 1: General requirementsKS IEC 61215-1,Terrestrial photovoltaic (PV) modulesKS IEC 61439-1,Low-voltage switchgear and controlgear assembliesKS IEC 62930,Electric cables for photovoltaic systems with a voltage rating of 1,5 kV DC.KS IEC 60309-5,Plugs, fixed or portable socket-outlets and appliance inlets for industrial purposesKS IEC 60038,IEC standard voltages.KS IEC 62196,ALL Parts, Plugs, socket-outlets, vehicle connectors and vehicle inlets Conductive charging of electric vehiclesKS IEC 61851,ALL Parts, Electric vehicle conductive charging system - Part 1: General requirements</t>
  </si>
  <si>
    <t>United States of America</t>
  </si>
  <si>
    <t>National Emission Standards for Hazardous Air Pollutants: 
Ethylene Oxide Emissions Standards for Sterilization Facilities 
Residual Risk and Technology Review Reconsideration</t>
  </si>
  <si>
    <t>Proposed rule; reconsideration of final rule - On 5 April 2024, the U.S. Environmental Protection Agency (EPA) published the National Emission Standards for Hazardous Air Pollutants (NESHAP): Ethylene Oxide Emissions Standards for Sterilization Facilities Residual Risk and Technology Review (2024 Final Rule) (notified as G/TBT/N/USA/1554/Add.2). The 2024 Final Rule revised the Commercial Sterilization Facilities NESHAP based on a residual risk and technology review (RTR) pursuant to the Clean Air Act (CAA) sections. On 12 March 2025, the EPA announced that it was reconsidering the 2024 Final Rule. Based on its reconsideration of the RTR in the 2024 Final Rule, the EPA is proposing to amend the Commercial Sterilization Facilities NESHAP. The amendments would rescind the risk based standards, revise the standard for new aeration room vents that resulted from the technology review, revise the compliance demonstration requirements, and rescind a requirement related to permanent total enclosure (PTE). This proposal also includes technical corrections and clarifications to the Commercial Sterilization Facilities NESHAP and Performance Specification 19 to address erroneous cross-references, omissions of text, and typographical errors in the regulatory text that the EPA has identified after publication of the 2024 Final Rule.The EPA will hold a virtual public hearing on 1 April 2026. The EPA will announce further details at https://www.epa.gov/stationary-sources-air-pollution/ethylene-oxide-emissions-standards-sterilization-facilities.  Please refer to the SUPPLEMENTARY INFORMATION section for information on registering for the public hearing.</t>
  </si>
  <si>
    <t>Ethylene oxide emissions;  Environmental protection (ICS code(s): 13.020); Cleanrooms and associated controlled environments (ICS code(s): 13.040.35); Occupational safety. Industrial hygiene (ICS code(s): 13.100); Oxides (ICS code(s): 71.060.20)</t>
  </si>
  <si>
    <t>13.020 - Environmental protection; 13.040.35 - Cleanrooms and associated controlled environments; 13.100 - Occupational safety. Industrial hygiene; 71.060.20 - Oxides</t>
  </si>
  <si>
    <t>Protection of human health or safety (TBT); Protection of the environment (TBT)</t>
  </si>
  <si>
    <t>Revision to Regular Notification</t>
  </si>
  <si>
    <r>
      <rPr>
        <sz val="11"/>
        <rFont val="Calibri"/>
      </rPr>
      <t>https://members.wto.org/crnattachments/2026/TBT/USA/26_01539_00_e.pdf</t>
    </r>
  </si>
  <si>
    <t>91 Federal Register (FR) 12700, 17 March 2026; Title 40 Code of Federal Regulations (CFR) Part 63_x000D_
https://www.govinfo.gov/content/pkg/FR-2026-03-17/html/2026-05167.htm_x000D_
https://www.govinfo.gov/content/pkg/FR-2026-03-17/pdf/2026-05167.pdfThis proposed rule; reconsideration of final rule and previous actions notified under the symbol G/TBT/N/USA/1554 are identified by Docket Numbers EPA-HQ-OAR-2019-0178. The Docket Folder is available from Regulations.gov at https://www.regulations.gov/docket/EPA-HQ-OAR-2019-0178/document and provides access to primary and supporting documents as well as comments received. Documents are also accessible from Regulations.gov by searching the Docket Number. </t>
  </si>
  <si>
    <t>DKS 662-1: 2026 Requirements for electrical installations Part 1: Scope, object and fundamental principles</t>
  </si>
  <si>
    <t>The standard apply to the design, erection and verification of electrical installation</t>
  </si>
  <si>
    <t>Protection of human health or safety (TBT); Quality requirements (TBT)</t>
  </si>
  <si>
    <r>
      <rPr>
        <sz val="11"/>
        <rFont val="Calibri"/>
      </rPr>
      <t>https://members.wto.org/crnattachments/2026/TBT/KEN/26_01516_00_e.pdf</t>
    </r>
  </si>
  <si>
    <t>N/A</t>
  </si>
  <si>
    <t>Chile</t>
  </si>
  <si>
    <t>Resolución Exenta No 1834/2026, Establece Medidas Fitosanitarias de emergencia para vehículos nuevos y usados con riesgo de infestación por gasterópodos procedentes de cualquier origen (Exempt Resolution No. 1834/2026 establishing emergency phytosanitary measures for new and used vehicles at risk of infestation by gastropods from any origin)</t>
  </si>
  <si>
    <t>The notified resolution, Exempt Resolution No. 1.834/2026, establishes emergency phytosanitary measures for new/used vehicles, vessels and containers of any origin, requiring that they arrive free of quarantine gastropods, such as Cathaica fasciola, Succinea sp., Bradybaena despecta and Eobania vermiculata. If quarantine gastropods are detected during port inspections, the vehicles, vessels or containers will be denied entry or required to be re-exported; for those that have already been unloaded and/or moved to other places, pending importation, SAG will instruct that they be re-laded onto the ship. It also provides for the adoption of mitigation measures in the surrounding area and/or warehouses where those vehicles have been stored.Further details can be found in the document attached hereto.</t>
  </si>
  <si>
    <t>Used and new vehicles at risk of infestation by gastropods</t>
  </si>
  <si>
    <t>Protect humans from animal/plant pest or disease (SPS); Protect territory from other damage from pests (SPS)</t>
  </si>
  <si>
    <t>Human health; Pests; Territory protection</t>
  </si>
  <si>
    <r>
      <rPr>
        <sz val="11"/>
        <rFont val="Calibri"/>
      </rPr>
      <t>https://members.wto.org/crnattachments/2026/SPS/CHL/26_01538_00_s.pdf</t>
    </r>
  </si>
  <si>
    <t>Order No. 12 of 9 January 2026 on the temporary suspension of imports of compound feed from Ukraine</t>
  </si>
  <si>
    <t>The measure establishes the temporary suspension of imports of compound feed originating from Ukraine into the territory of the Republic of Moldova. The measure was introduced following the detection of residues of the prohibited veterinary medicinal substance metronidazole and its metabolite hydroxymetronidazole in poultry serum samples collected under the National Residue Monitoring Plan. As a result, official investigations and traceability checks were initiated in affected poultry establishments. During these investigations, official samples of compound feed used in those establishments were taken, and laboratory analysis confirmed the presence of metronidazole residues in the feed. Traceability analysis indicated that the contaminated feed had been imported from Ukraine. In order to prevent further introduction and circulation of feed containing prohibited substances in the poultry production chain, the Republic of Moldova introduced a temporary suspension of imports of compound feed originating from Ukraine until adequate guarantees are provided by the competent authority of the exporting country.</t>
  </si>
  <si>
    <t>Preparations of a kind used in animal feeding (HS code(s): 2309), in particular compound feed intended for poultry and other food-producing animals</t>
  </si>
  <si>
    <t>2309 - Preparations of a kind used in animal feeding</t>
  </si>
  <si>
    <t>Human health; Food safety</t>
  </si>
  <si>
    <t>Ukraine</t>
  </si>
  <si>
    <r>
      <rPr>
        <sz val="11"/>
        <rFont val="Calibri"/>
      </rPr>
      <t>https://members.wto.org/crnattachments/2026/SPS/MDA/26_01530_00_x.pdf
https://www.ansa.gov.md/sites/default/files/2026-01/Ordin%20nr.%2012_0.pdf</t>
    </r>
  </si>
  <si>
    <t>DKS 662-6: 2026 Requirements for electrical installations Part 6: Inspection and Testing</t>
  </si>
  <si>
    <t>This standard outlines the procedures and requirements for inspecting, testing, and certifying electrical installations to ensure safety, compliance, and proper functioning before commissioning and during periodic maintenance.</t>
  </si>
  <si>
    <r>
      <rPr>
        <sz val="11"/>
        <rFont val="Calibri"/>
      </rPr>
      <t>https://members.wto.org/crnattachments/2026/TBT/KEN/26_01521_00_e.pdf</t>
    </r>
  </si>
  <si>
    <t>IEC 60364 (All parts): Low-voltage installations.BS 7671 (18th Edition) Requirements for electrical installations.IEC 60364 - Low-voltage electrical installationsKS IEC 61557-6 - Electrical safety in low voltage distribution systems up to 1 000 V AC and 1 500 V DC -Equipment for testing, measuring or monitoring of protective measures - Part 6: Effectiveness of residual current devices (RCD) in TT, TN and IT systemsKS IEC 60079-17 - Explosive atmospheres - Part 17: Electrical installations inspection and maintenanceKS IEC 60238 - Edison screw lampholdersKS IEC 61557 - Electrical safety in low voltage distribution systems up to 1 000 V AC and 1 500 V DC - Equipment for testing, measuring or monitoring of protective measures - Part 1: General requirementsKS IEC 60269-3 - Low-voltage fuses - Part 3: Supplementary requirements for fuses for operation by unskilled persons (fuses mainly for household and similar applications) - Examples of standardized systems of fuses A to FKS IEC 60898- Electrical accessories - Circuit-breakers for overcurrent protection for household and similar installationsKS IEC 61009-1- Residual current operated circuit-breakers with integral overcurrent protection for household and similar uses (RCBOs) - Part 1: General rulesKS IEC 61008 - Residual current operated circuit-breakers without integral overcurrent protection for household and similar uses (RCCBs)</t>
  </si>
  <si>
    <t>Partial Amendment of the Regulation for Radio Equipment, etc.</t>
  </si>
  <si>
    <t>The revisions announced in G/TBT/N/JPN/873 dated 1 August, 2025 will enter into force on 23 March,2026. The texts of the amendments in Japanese are available on the following: Website of the Ministry of Internal Affairs and Communications.https://www.soumu.go.jp/menu_hourei/s_shourei.html</t>
  </si>
  <si>
    <t>Radio equipment of radio stations for mobile radio communication systems including TDD-NR (Time Division Duplex-New Radio) system</t>
  </si>
  <si>
    <t>Mobile communications traffic in Japan continues to grow, and further increases in traffic are expected due to new mobile communications needs. In order to address this situation, this amendment aims to secure sufficient bandwidth to support the expansion of 5th generation mobile communication systems. </t>
  </si>
  <si>
    <r>
      <rPr>
        <sz val="11"/>
        <rFont val="Calibri"/>
      </rPr>
      <t>Ministerial Ordinances Partially Amending the Regulations for Enforcement of the Radio Act and Other Rules.(Ministerial Ordinance of Ministry of Internal Affairs and Communications
 No.26 of 2026.) (Available in Japanese.)
https://www.soumu.go.jp/menu_hourei/s_shourei.html</t>
    </r>
  </si>
  <si>
    <t>DKS 662-4: 2026 Requirements for electrical installations Part 4: Protection for safety</t>
  </si>
  <si>
    <t>This standard specifies essential requirements regarding protection against electric shock, including basic protection and fault protection of persons and livestock. It deals also with the application and co-ordination of these requirements in relation to external influences.</t>
  </si>
  <si>
    <r>
      <rPr>
        <sz val="11"/>
        <rFont val="Calibri"/>
      </rPr>
      <t>https://members.wto.org/crnattachments/2026/TBT/KEN/26_01519_00_e.pdf</t>
    </r>
  </si>
  <si>
    <t>IEC 60364 (All parts): Low-voltage installations.BS 7671 (18th Edition) Requirements for electrical installations.IEC 60146-2, Semiconductor convertors – Part 2: Semiconductor self-commutated convertorsIEC 61201, Extra-low voltage (ELV) – Limit valuesKS 662-1, Requirements for Electrical installations - Part 1: Scope, object and fundamental principlesKS 662-5, Requirements for Electrical installations - Part 5: Selection and erection of electrical equipment.KS 662-7, Requirements for Electrical installations - Part 7., Requirements for special installations or locationsKS IEC 60479-1, Effects of current on human beings and livestock - Part 1: General aspectsKS IEC 60479-2, Effects of current on human beings and livestock - Part 2: Special aspectsIEC 60038, IEC standard voltagesIEC 60050(826), International Electrotechnical Vocabulary (IEV) - Chapter 826: Electrical installations of buildingsIEC 60664-1, Insulation coordination for equipment within low-voltage systems - Part 1: Principles, requirements and tests13. IEC 61024-1, Protection of structures against lightning - Part 1: General principles14. KS IEC 61439-3, Low-voltage switchgear and control gear-Part 3: Distribution boards intended to be operated by ordinary persons (DBO)15. IEC 60417, Graphical Symbols for Use on Equipment16. IEC 60947-2, Low-voltage switchgear and control gear - Part 2: Circuit-breakers17. KS KS KS IEC 60947-4-1, Low-voltage switchgear and control gear - Part 4-1: Contactors and motor-starters - Electromechanical contactors and motor-starters18. KS IEC 61140, Protection against electric shock - Common aspects for installation and equipment19. IEC 61558, Safety of transformers, reactors, power supply units and combinations thereof - Requirements20. IEC TR 61000-2-5, Electromagnetic compatibility (EMC) - Part 2-5: Environment - Description and classification of electromagnetic environments21. IEC 61000-4-5, Electromagnetic compatibility (EMC) - Part 4-5: Testing and measurement techniques - Surge immunity test22. IEC 61000-6-3, Electromagnetic compatibility (EMC) - Part 6-3: Generic standards23. IEC 62305-4, Protection against lightning - Part 4: Electrical and electronic systems within structures</t>
  </si>
  <si>
    <t>Resolución Exenta No 1.835/2026 que Modifica resolución No 6.315 de 2013, que Establece requisitos fitosanitarios de importación para plantas, estacas y ramillas de cerezo (Prunus avium), procedentes de Canadá (Exempt Resolution No. 1.835/2026 amending Resolution No. 6.315 of 2013 establishing phytosanitary requirements for the importation of cherry tree (Prunus avium) plants, cuttings and scions from Canada)Chile hereby advises that Exempt Resolution No. 1.835 of 2026 amending Resolution No. 6.315 of 2013 establishing phytosanitary requirements for the importation of cherry tree (Prunus avium) plants, cuttings and scions from the Canada, was published in the Official Journal on 17 March 2026 and entered into force on that date.https://members.wto.org/crnattachments/2026/SPS/CHL/26_01535_00_s.pdf</t>
  </si>
  <si>
    <t>Cherry tree (Prunus avium) plants, cuttings and twigs</t>
  </si>
  <si>
    <t>Adoption/publication/entry into force of reg.; Plant health; Territory protection; Plant health; Territory protection</t>
  </si>
  <si>
    <r>
      <rPr>
        <sz val="11"/>
        <rFont val="Calibri"/>
      </rPr>
      <t>https://members.wto.org/crnattachments/2026/SPS/CHL/26_01535_00_s.pdf</t>
    </r>
  </si>
  <si>
    <t>DARS 2179:2026 Road Marking Paints - Specification</t>
  </si>
  <si>
    <t>This Draft African Standard specifies requirements, sampling and test methods for solvent-borne and water- borne paints for marking on bituminous or concrete surfaces. It makes provision for white, yellow, and black colours.</t>
  </si>
  <si>
    <t>Paints and varnishes (ICS code(s): 87.040)</t>
  </si>
  <si>
    <t>87.040 - Paints and varnishes</t>
  </si>
  <si>
    <t>Consumer information, labelling (TBT); Prevention of deceptive practices and consumer protection (TBT); Quality requirements (TBT); Reducing trade barriers and facilitating trade (TBT); Cost saving and productivity enhancement (TBT)</t>
  </si>
  <si>
    <t>September 2026</t>
  </si>
  <si>
    <r>
      <rPr>
        <sz val="11"/>
        <rFont val="Calibri"/>
      </rPr>
      <t>https://members.wto.org/crnattachments/2026/TBT/KEN/26_01509_00_e.pdf</t>
    </r>
  </si>
  <si>
    <t>ISO 1514, Paints and varnishes — Standard panels for testingISO 1518-1, Paints and varnishes — Determination of scratch resistance — Part 1: Constant-loading methodISO 1524, Paints, varnishes and printing ink — Determination of fineness of grindISO 3251, Paints varnishes and plastics — Determination of non- volatile matter contentISO 3270, Paints and varnishes and their raw materials — Temperatures and humidities for conditioning and testingISO 3856-6, Paints and varnishes — Determination of "soluble" metal content — Part 6: Determination of total chromium content of the liquid portion of the paint — Flame atomic absorption spectrometric methodISO 4618, Paints and varnishes — VocabularyISO 6503, Paints and varnishes — Determination of total lead — Flame atomic absorption spectrometric methodISO 6504-1, Paints and varnishes — Determination of hiding power — Part 1: Kubelka-Munk method for white and light-coloured paintsISO 9117-1, Paints and varnishes — Drying tests — Part 1: Determination of through-dry state and through- dry timeISO 15528, Paints, varnishes and raw materials for paints and varnishes — Sampling</t>
  </si>
  <si>
    <t>China</t>
  </si>
  <si>
    <t>National Standard of the P.R.C., Safety technical requirements for non-metallic products in coal mines</t>
  </si>
  <si>
    <t>This document specifies the terms and definitions of flame retardance, antistatic property, surface resistance, specific optical density, non-metallic products, flame combustion and flameless combustion. It specifies the requirements and inspection rules for non-metallic products used in coal mines, and describes the corresponding test methods._x000D_
This document applies to non-metallic products used in coal mines underground, such as conveyor belts, air ducts and pipes._x000D_
This document does not apply to cables and tires.</t>
  </si>
  <si>
    <t>Mining non-metallic pipes, mining conveyor belts, mining air ducts, etc. (HS code(s): 391729; 401011; 851631); (ICS code(s): 83.080.10)</t>
  </si>
  <si>
    <t>401011 - Conveyor belts or belting, of vulcanised rubber, reinforced only with metal; 391729 - Rigid tubes, pipes and hoses, of plastics (excl. those of polymers of ethylene, propylene and vinyl chloride); 851631 - Electric hairdryers</t>
  </si>
  <si>
    <t>83.080.10 - Thermosetting materials</t>
  </si>
  <si>
    <t>Prevention of deceptive practices and consumer protection (TBT); Quality requirements (TBT)</t>
  </si>
  <si>
    <t>12 months after approval</t>
  </si>
  <si>
    <r>
      <rPr>
        <sz val="11"/>
        <rFont val="Calibri"/>
      </rPr>
      <t>https://members.wto.org/crnattachments/2026/TBT/CHN/26_01471_00_x.pdf</t>
    </r>
  </si>
  <si>
    <t>Proyecto de Resolución para regular la importación de frutas de Granada (Punica granatum) para consumo fresco originarias de España (Draft Resolution governing the importation, for consumption, of fresh pomegranates (Punica granatum) originating in Spain)</t>
  </si>
  <si>
    <t>The notified draft Resolution establishes the phytosanitary measures for the importation, for consumption, of fresh pomegranates (Punica granatum) originating in Spain</t>
  </si>
  <si>
    <t>Spain</t>
  </si>
  <si>
    <r>
      <rPr>
        <sz val="11"/>
        <rFont val="Calibri"/>
      </rPr>
      <t>https://members.wto.org/crnattachments/2026/SPS/CRI/26_01537_00_s.pdf</t>
    </r>
  </si>
  <si>
    <t>New Zealand</t>
  </si>
  <si>
    <t>Issuance of import health standards for Fresh Table Grapes (Vitis spp.) for Human Consumption</t>
  </si>
  <si>
    <t>Adoption date of regulation: 16 March 2026This addendum concerns the issuance and entry into force of the previously notified import health standard Fresh Table Grapes (Vitis spp.) for Human Consumption, previously notified in G/SPS/N/NZL/788 dated 29 October 2025.As of 16 March 2026,the import health standard has beenpublished, adopted and entered into force.</t>
  </si>
  <si>
    <t>Fresh table grapes for human consumption</t>
  </si>
  <si>
    <t>080610 - Fresh grapes; 080610 - Fresh grapes</t>
  </si>
  <si>
    <t>Adoption/publication/entry into force of reg.; Plant health; Territory protection; Territory protection; Plant health</t>
  </si>
  <si>
    <r>
      <rPr>
        <sz val="11"/>
        <rFont val="Calibri"/>
      </rPr>
      <t>https://members.wto.org/crnattachments/2026/SPS/NZL/26_01540_00_e.pdf</t>
    </r>
  </si>
  <si>
    <t>DKS 662-5: 2026 Requirements for electrical installations Part 5: Selection and Erection of Equipment</t>
  </si>
  <si>
    <t>This standard ensures that electrical systems are designed and installed with safety in mind, preventing electrical hazards like overcurrent, fault currents, and fire risks. It includes a comprehensive_x000D_
set of guidelines for wiring methods, protection, earthing, bonding, and inspection to ensure a safe, effective, and compliant electrical installation._x000D_
It provides common rules for compliance with measures of protection for safety, requirements for proper functioning for intended use of the installation, and requirements appropriate to the external_x000D_
influences.</t>
  </si>
  <si>
    <r>
      <rPr>
        <sz val="11"/>
        <rFont val="Calibri"/>
      </rPr>
      <t>https://members.wto.org/crnattachments/2026/TBT/KEN/26_01520_00_e.pdf</t>
    </r>
  </si>
  <si>
    <t>IEC 60073: Basic and safety principles for man-machine interface, marking and identification -Coding principles for indicators and actuatorsIEC 60447: Basic and safety principles for man-machine interface, marking and identification -Actuating principlesKS IEC 60684: Flexible insulating sleevingIEC 60617: Graphical symbols for diagramsIEC 60364: Low-voltage electrical installationsKS IEC 61000: Electromagnetic compatibility (EMC)IEC 61535: Installation couplers intended for permanent connection in fixed installationsKS IEC 61439-6: Low-voltage switchgear and controlgear assemblies – Part 6: Busbar trunking systems (busways)IEC 61534: Powertrack systems.KS IEC 61386: Conduit systems for cable management.IEC 61084: Cable trunking systems and cable ducting systems for electrical installationsIEC 61537: Cable management - Cable tray systems and cable ladder systemsKS IEC 60670-22: Boxes and enclosures for electrical accessories for household and similar fixed electrical installations - Part 22: Particular requirements for connecting boxes and enclosuresKS IEC 62821- Electric CablesKS IEC 60529: Degrees of protection provided by enclosures (IP Code)IEC 60702-1: Mineral insulated cables and their terminations with a rated voltage not exceeding 750 V - Part 1: CablesKS IEC 61386-21: Conduit systems for cable management - Part 21: Particular requirements – Rigid conduit systemsKS IEC 61386-24: Conduit systems for cable management - Part 24: Particular requirements - Conduit systems buried undergroundKS IEC 60502-1: Power cables with extruded insulation and their accessories for rated voltages from 1 kV (Um = 1,2 kV) up to 30 kV (Um = 36 kV) - Part 1: Cables for rated voltages of 1 kV (Um = 1,2 kV) and 3 kV (Um = 3,6 kV)KS IEC 60287: Electric cables KS IEC 60947-7: Low-voltage switchgear and controlgear - Part 7-1: Ancillary equipment – Terminal blocks for copper conductorsKS IEC 60998: Connecting devices for low-voltage circuits for household and similar purposes – Part 1: General requirementsIEC 61535: Installation couplers intended for permanent connection in fixed installationsIEC 63172: Electrical accessories - Methodology for determining the energy efficiency class of electrical accessoriesISO 1182, titled "Reaction to fire tests for products – Non-combustibility testKS IEC 60332-1-2: Tests on electric and optical fibre cables under fire conditions - Part 1-2: Test for vertical flame propagation for a single insulated wire or cable - Procedure for 1 kW pre-mixed flameKS IEC 60332-3: Tests on electric and optical fibre cables under fire conditionsKS IEC 61386: Conduit systems for cable managementKS IEC 61439-6: Low-voltage switchgear and controlgear assemblies - Part 6: Busbar trunking systems (busways)KS IEC 62305: Protection against lightningIEC 60364-4-41 – Low-voltage electrical installations – Protection for safety – Protection against electric shockIEC 60364-5-52 – Electrical installations of buildings – Part 5-52: Selection andKS ISO 8100 series: Lifts for the transport of persons and goodsIEC 62208: Empty enclosures for low-voltage switchgear and controlgear assemblies - General requirementsIEC 60669-2-1: Switches for household and similar fixed electrical installations – Part 2-1: Particular requirements – Electronic switches.IEC 60947-2: Low-voltage switchgear and controlgear - Part 2: Circuit-breakersIEC /TR 62350: Guidance for the correct use of residual current-operated protective devices (RCDs) for household and similar useIEC 62423: Type F and type B residual current operated circuit-breakers with and without integral overcurrent protection for household and similar usesIEC 62020: Electrical accessories - Residual current monitors (RCMs)IEC /TR 61641: Enclosed low-voltage switchgear and controlgear assemblies - Guide for testing under conditions of arcing due to internal faultIEC 62606: General requirements for arc fault detection and protection devices (AFDDs)IEC 60269: Low-voltage fusesIEC 60269: Low-voltage fusesIEC 60947: Low-voltage switchgear and controlgearIEC HD 60269-2 : Low-voltage fuses - Part 2: Supplementary requirements for fuses for use by authorized persons (fuses mainly for industrial application) - Examples of standardized systems of fuses A to KIEC HD 60269-3: Low-voltage fuses - Part 3: Supplementary requirements for fuses for operation by unskilled persons (fuses mainly for household and similar applications) - Examples of standardized systems of fuses A to FIEC 61643: Low-voltage surge protective devicesIEC 61095: Electromechanical contactors for household and similar purposesIEC 60947-3: Low-voltage switchgear and controlgear - Part 3: Switches, disconnectors, switch- disconnectors and fuse-combination unitsIEC 60669-2-4: Switches for household and similar fixed electrical installations - Part 2-4: Particular requirements - Isolating switchesIEC 60947-6-1: Low-voltage switchgear and controlgear - Part 6-1: Multiple function equipment - Transfer switching equipmentIEC 60669-2-2: Switches for household and similar fixed electrical installations - Part 2-2: Particular requirements - Electromagnetic remote-control switches (RCS)IEC 60669: Switches for household and similar fixed electrical installations.IEC 60669-2-6 : Switches for household and similar fixed electrical installations - Part 2-6: Particular requirements - Fireman's switches for exterior and interior signs and luminairesIEC 61557-8: Electrical safety in low voltage distribution systems up to 1 000 V a.c. and 1 500 V d.c. -Equipment for testing, measuring or monitoring of protective measures - Part 8: Insulation monitoring devices for IT systemsIEC 60269-1: Low-voltage fuses - Part 1: General requirementsIEC 60364-5-54: Low-voltage electrical installations - Part 5-54: Selection and erection of electrical equipment - Earthing arrangements and protective conductorsIEC 60949: Calculation of thermally permissible short-circuit currents, taking into account non-adiabatic heating effectsIEC 61557: Electrical safety in low voltage distribution systems up to 1 000 V AC and 1 500 V DC – Equipment for testing, measuring or monitoring of protective measuresIEC 60309-2: Plugs, fixed or portable socket-outlets and appliance inlets for industrial purposes - Part 2: Dimensional compatibility requirements for pin and contact-tube accessoriesIEC 61727:2004: Photovoltaic (PV) systems – Characteristics of the utility interface.IEC 60309: Plugs, fixed or portable socket-outlets and appliance inlets for industrial purposesKS EAS 495: 13 A plugs, socket-outlets, adaptors and connection unitsIEC 61558-2-5: Safety of transformers, reactors, power supply units and combinations thereof – Part 2-5: Particular requirements and tests for transformers for shavers, power supply units for shavers and shaver supply unitsIEC 60320-1: Appliance couplers for household and similar general purposes - Part 1: General requirementsIEC 60332-1-1:Tests on electric and optical fibre cables under fire conditions - Part 1-1: Test for vertical flame propagation for a single insulatedwire or cable - ApparatusIEC 60598-2-14: Luminaires – Part 2-14: Particular requirements – Luminaires for cold cathode tubular discharge lamps (neon tubes) and similar equipment,IEC 60570: Electrical supply track systems for luminairesIEC 61995: Devices for the connection of luminaires for household and similar purposesIEC 61995: Devices for the connection of luminaires for household and similar purposesIEC 61995-1: Devices for the connection of luminaires for household and similar purposes - Part 1: General requirementsIEC 60598: LuminairesIEC 61995: Devices for the connection of luminaires for household and similar purposesIEC 60884-1: Plugs and socket-outlets for household and similar purposes – Part 1: General requirementsIEC 61048: Auxiliaries for lamps - Capacitors for use in tubular fluorescent and other discharge lamp circuits - General and safety requirementsIEC 60598-2-13: Luminaires - Part 2-13: Particular requirements - Ground recessed luminairesIEC 60623: Secondary cells and batteries containing alkaline or other non-acid electrolytes – Vented nickel-cadmium prismatic rechargeable single cellsIEC 62040-1: Uninterruptible power systems (UPS) - Part 1: Safety requirementsIEC 62040-3: Uninterruptible power systems (UPS) - Part 3: Method of specifying the performance and test requirementsIEC 60702-2: Mineral insulated cables and their terminations with a rated voltage not exceeding 750 V - Part 2: TerminationsIEC 60331-2: Tests for electric cables under fire conditions - Circuit integrity - Part 2: Test method for fire with shock at a temperature of at least 830°C for cables of rated voltage up to and including 0,6/1,0 kV and with an overall diameter not exceeding 20mmIEC 60331-3: Tests for electric cables under fire conditions - Circuit integrity - Part 3: Test method for fire with shock at a temperature of at least 830°C for cables of rated voltage up to and including 0,6/1,0 kV tested in a metal enclosureIEC 60228: Conductors of insulated cables 9IEC 60331-1: Tests for electric cables under fire conditions - Circuit integrity - Part 1: Test method for fire with shock at a temperature of at least 830°C for cables of rated voltage up to and including 0,6/1,0 kV and with an overall diameter exceeding 20 mmIEC 60269: Low-voltage fuses.KS IEC 61386-24: Conduit systems for cable management – Part 24: Particular requirements – Conduit systems buried underground.KS IEC 60287: Electric cablesIEC 60721: Classification of environmental conditionsIEC 60038:1983, IEC standard voltagesIEC 60664-1:1992, Insulation coordination for equipment within low-voltage systems - Part 1: Principles, requirements and testsIEC 61008: Residual current operated circuit-breakers without integral overcurrent protection for household and similar uses (RCCBs)IEC 61009: Residual current operated circuit-breakers with integral overcurrent protection for household and similar uses (RCBOs)IEC 60947-4-1: Low-voltage switchgear and controlgear - Contactors and motor-starters -Electromechanical contactors and motor-startersIEC 60898: Electrical accessories - Circuit-breakers for overcurrent protection for household and similar installationsIEC 61557-9: Electrical safety in low voltage distribution systems up to 1 000 V AC and 1 500 V DC - Equipment for testing, measuring or monitoring of protective measures - Equipment for insulation fault location in IT systemsIEC 61184: Bayonet lampholdersIEC 60238: Edison screw lampholdersIEC 60079-14: Explosive atmospheres - Part 14: Electrical installation design, selection and installation of equipment, including initial inspectionIEC 60598-2-24: Luminaires - Part 2-24: Particular requirements - Luminaires with limited surface temperaturesIEC 60204: Safety of machinery - Electrical equipment of machinesKS KS IEC 60287-Electric cables - Calculation of the current rating Part 1-1: Current rating equations (100 % load factor) and calculation of losses – GeneralIEC 60364 (All parts): Low-voltage installations.BS 7671. (18th Edition) Requirements for electrical installations.</t>
  </si>
  <si>
    <t>Russian Federation</t>
  </si>
  <si>
    <t>Letter of the Federal Service for Veterinary and Phytosanitary Surveillance as of 11 March 2026 No. FS-ARe-7/7093-3</t>
  </si>
  <si>
    <t>This letter introduces temporary restrictions on the imports of certain animals susceptible to foot-and-mouth disease and products derived thereof, as well as on the transit of animals susceptible to foot-and-mouth disease from Malaysia to the territory of the Russian Federation due to the deterioration of foot-and-mouth disease epizootic situation in the country indicated.</t>
  </si>
  <si>
    <t>Animals susceptible to foot-and-mouth disease and products derived thereof, including products in packaging transported in hand luggage and luggage for personal use (HS code(s): 0102; 0103; 010613; 0201; 0202; 0203; 0204; 0205; 0206; 0209; 0210; 04; 051110; 051199; 2309; 430180; 430190; 430390; 843680; 970529)</t>
  </si>
  <si>
    <t>0102 - Live bovine animals; 430390 - Articles of furskin (excl. articles of apparel, clothing accessories and goods of chapter 95, e.g. toys, games and sports equipment); 430190 - Heads, tails, paws and other pieces or cuttings of furskins suitable for use in furriery; 430180 - Raw furskins, whole, with or without heads, tails or paws (excl. those of mink, lamb - Astrachan, Caracul, Persian, Broadtail and similar, and Indian, Chinese, Mongolian or Tibetan - and fox); 2309 - Preparations of a kind used in animal feeding; 051199 - Products of animal origin, n.e.s., dead animals, unfit for human consumption (excl. fish, crustaceans, molluscs or other aquatic invertebrates); 051110 - Bovine semen; 04 - DAIRY PRODUCE; BIRDS' EGGS; NATURAL HONEY; EDIBLE PRODUCTS OF ANIMAL ORIGIN, NOT ELSEWHERE SPECIFIED OR INCLUDED; 0210 - Meat and edible offal, salted, in brine, dried or smoked; edible flours and meals of meat or meat offal; 0209 - Pig fat, free of lean meat, and poultry fat, not rendered or otherwise extracted, fresh, chilled, frozen, salted, in brine, dried or smoked; 0206 - Edible offal of bovine animals, swine, sheep, goats, horses, asses, mules or hinnies, fresh, chilled or frozen; 0205 - Meat of horses, asses, mules or hinnies, fresh, chilled or frozen.; 0204 - Meat of sheep or goats, fresh, chilled or frozen; 0203 - Meat of swine, fresh, chilled or frozen; 0202 - Meat of bovine animals, frozen; 0201 - Meat of bovine animals, fresh or chilled; 010613 - Live camels and other camelids [Camelidae]; 0103 - Live swine; 843680 - Agricultural, horticultural, forestry or bee-keeping machinery, n.e.s.; 970529 - Collections and collectors’ pieces of zoological, botanical, mineralogical, anatomical or paleontological interest (excl. human specimens and parts thereof, and extinct or endangered species and parts thereof)</t>
  </si>
  <si>
    <t>Foot and mouth disease; Animal health</t>
  </si>
  <si>
    <t>Malaysia</t>
  </si>
  <si>
    <r>
      <rPr>
        <sz val="11"/>
        <rFont val="Calibri"/>
      </rPr>
      <t>https://members.wto.org/crnattachments/2026/SPS/RUS/26_01545_00_x.pdf
https://fsvps.gov.ru/files/ukazanie-rosselhoznadzora-ot-11-marta-2026-goda-№-fs-are-7-7093-3/</t>
    </r>
  </si>
  <si>
    <t>DARS 2178:2026 Gloss solvent borne paint for interior and exterior use - Specification</t>
  </si>
  <si>
    <t>This Draft African Standard specifies requirements, sampling and test methods for gloss solvent-borne paint for interior and exterior use. This standard does not apply to paint for automotive, road marking and industrial applications.</t>
  </si>
  <si>
    <r>
      <rPr>
        <sz val="11"/>
        <rFont val="Calibri"/>
      </rPr>
      <t>https://members.wto.org/crnattachments/2026/TBT/KEN/26_01513_00_e.pdf</t>
    </r>
  </si>
  <si>
    <t>ISO 1514, Paints and varnishes — Standard panels for testing ISO 1524, Paints, varnishes and printing ink — Determination of fineness of grind ISO 2813, Paints and varnishes — Determination of specular gloss of non-metallic paint films at 20°, 60° and 85°ISO 2884-2, Paints and varnishes — Determination of viscosity using rotary viscometers — Part 2: Disc or ball viscometer operated at a specified speed ISO 3251, Paints varnishes and plastics — Determination of non- volatile matter content ISO 4618, Paints and varnishes —Vocabulary.ISO 4628-10, Paints and varnishes — Evaluation of degradation of coatings — Designation of quantity and size of defects, and of intensity of uniform changes in appearance — Part 10: Assessment of degree of filiform corrosionISO 6503, Paints and varnishes — Determination of total lead — Flame atomic absorption spectrometric methodISO 6504-3, Paints and varnishes — Determination of hiding power — Part 3: Determination of contrast ratio of light-coloured paints at a fixed spreading rateISO 9117-1, Paints and varnishes — Drying tests — Part 1: Determination of through-dry state and through-dry timeISO 9117-3, Paints and varnishes — Drying tests — Part 3: Surface-drying test using ballotiniISO 15528, Paints, varnishes and raw materials for paints and varnishes — SamplingISO 16474-1, Paints and varnishes — Methods of exposure to laboratory light sources — Part 1: General guidanceISO 16474-2, Paints and varnishes — Methods of exposure to laboratory light sources— Part 2: Xenon-arc lISO 20566, Paints and varnishes — Determination of the scratch resistance of a coating system using a laboratory-scale carwash</t>
  </si>
  <si>
    <t>DARS 2180:2026 Semi-gloss (egg-shell) solvent borne paint for interior and exterior use - Specification </t>
  </si>
  <si>
    <t>This Draft African Standard specifies requirements, sampling and test methods for semi-gloss (egg-shell) solvent borne paint for interior and exterior use.This standard does not apply to automotive, road marking and industrial applications</t>
  </si>
  <si>
    <r>
      <rPr>
        <sz val="11"/>
        <rFont val="Calibri"/>
      </rPr>
      <t>https://members.wto.org/crnattachments/2026/TBT/KEN/26_01512_00_e.pdf</t>
    </r>
  </si>
  <si>
    <t>ISO 1514, Paints and varnishes — Standard panels for testingISO 1524, Paints, varnishes and printing ink — Determination of fineness of grindISO 2813, Paints and varnishes — Determination of specular gloss of non-metallic paint films at 20°, 60° and 85°ISO 2884-2, Paints and varnishes — Determination of viscosity using rotary viscometers — Part 2: Disc or ball viscometer operated at a specified speedISO 3251, Paints varnishes and plastics — Determination of non-volatile matter contentISO 3856-6, Paints and varnishes — Determination of "soluble" metal content — Part 6: Determination of total chromium content of the liquid portion of the paint — Flame atomic absorption spectrometric methodISO 4618, Paints and varnishes —VocabularyISO 6503, Paints and varnishes — Determination of total lead — Flame atomic absorption spectrometric methodISO 6504-3, Paints and varnishes — Determination of hiding power — Part 3: Determination of contrast ratio of light-coloured paints at a fixed spreading rateISO 9117-1, Paints and varnishes — Drying tests — Part 1: Determination of through-dry state and through-dry timeISO 9117-3, Paints and varnishes — Drying tests — Part 3: Surface-drying test using ballotiniISO 15528, Paints, varnishes and raw materials for paints and varnishes — SamplingISO 16474-1, Paints and varnishes — Methods of exposure to laboratory light sources — Part 1: General guidanceISO 16474-2, Paints and varnishes — Methods of exposure to laboratory light sources — Part 2: Xenon-arc </t>
  </si>
  <si>
    <t>DKS662-3:2026 Requirements for Electrical Installations ― Part 3: Assessment of General characteristics</t>
  </si>
  <si>
    <t>This Part 3 of this Kenya standard specifies the fundamental requirements for assessing electrical installations, including new installations and modifications to existing systems. It covers the determination of installation_x000D_
characteristics, including the intended purpose, general structure, and supply arrangements. It also addresses external influences affecting the installation, equipment compatibility, maintainability, recognized safety_x000D_
services, and considerations for continuity of service.</t>
  </si>
  <si>
    <t>Electrical installations for outdoor use (ICS code(s): 29.260.10)</t>
  </si>
  <si>
    <t>29.260.10 - Electrical installations for outdoor use</t>
  </si>
  <si>
    <r>
      <rPr>
        <sz val="11"/>
        <rFont val="Calibri"/>
      </rPr>
      <t>https://members.wto.org/crnattachments/2026/TBT/KEN/26_01518_00_e.pdf</t>
    </r>
  </si>
  <si>
    <t>IEC 60364 (All parts): Low-voltage installations.BS 7671:2008. (18th Edition) Requirements for electrical installations.KS 662-4, Requirements of Electrical Installations ― Part 4: Protection for safety ― Chapter 41: Protection against electric shockKS 662-5, Requirements of Electrical Installations ― Part 5: Protection for safety ― Selection and erection of equipmentKS 662-2, Requirements of Electrical Installations ― Part 2: Definitions</t>
  </si>
  <si>
    <t>DARS 2181:2026 Textured paint - Specification </t>
  </si>
  <si>
    <t>This Draft African Standard specifies requirements, sampling and test methods for water based textured paint suitable for exterior and interior use on concrete surfaces, boards, primed wood, primed metal to give a protective and decorative coating.</t>
  </si>
  <si>
    <r>
      <rPr>
        <sz val="11"/>
        <rFont val="Calibri"/>
      </rPr>
      <t>https://members.wto.org/crnattachments/2026/TBT/KEN/26_01510_00_e.pdf</t>
    </r>
  </si>
  <si>
    <t>ASTM D4060, Standard test method for abrasion resistance of organic coatings by the taber abraserASTM D4828, Standard test methods for practical washability of organic coatingsASTM D1653, Standard test methods for water vapour transmission of organic coating filmsASTM D3273, Standard Test Method for Resistance to Growth of Mold on the Surface of Interior Coatings in an Environmental ChamberASTM F735, Standard test method for abrasion resistance of transparent plastics and coatings using the oscillating sand methodISO 1524, Paints, varnishes and printing ink — Determination of fineness of grindISO 3251, Paints varnishes and plastics — Determination of non-volatile matter contentISO 3310-1, Test sieves — Technical requirements and testing — Part 1: Test sieves of metal wire clothISO 3856-6, Paints and varnishes — Determination of "soluble" metal content — Part 6: Determination of total chromium content of the liquid portion of the paint — Flame atomic absorption spectrometric methodISO 4618, Paints and varnishes — Vocabulary.ISO 6503, Paints and varnishes — Determination of total lead — Flame atomic absorption spectrometric method.ISO 9117-3, Paints and varnishes — Drying tests — Part 3: Surface-drying test using ballotiniISO 15528, Paints, varnishes and raw materials for paints and varnishes — Sampling.ISO 17132, Paints and varnishes — T-bend testISO 19396-1, Paints and varnishes — Determination of pH value — Part 1: pH sensors with glass membraneISO 19396-2, Paints and varnishes — Determination of pH value —Part 2: pH sensors with ISFET technology</t>
  </si>
  <si>
    <t>KS 1927: 2025 Tea packets and containers — Specification</t>
  </si>
  <si>
    <t>This Kenya Standard specifies the requirements and methods of test for tea packets and containers.This standard applies to tea packaging for retail in the form of tea bags, tea packets, instant tea and ready to drink tea containers.  The standard does not cover tea sacks, which is covered by KS ISO 9884-1.</t>
  </si>
  <si>
    <t>Tea (ICS code(s): 67.140.10)</t>
  </si>
  <si>
    <t>67.140.10 - Tea</t>
  </si>
  <si>
    <t>Consumer information, labelling (TBT); Protection of human health or safety (TBT); Quality requirements (TBT); Reducing trade barriers and facilitating trade (TBT)</t>
  </si>
  <si>
    <t>Food standards</t>
  </si>
  <si>
    <r>
      <rPr>
        <sz val="11"/>
        <rFont val="Calibri"/>
      </rPr>
      <t>https://members.wto.org/crnattachments/2026/TBT/KEN/26_01515_00_e.pdf</t>
    </r>
  </si>
  <si>
    <t>KS ISO 9884-1, Tea sacks — Specification, Part 1: Reference sack for palletized and containerized transport of teaKS EAS 39, Code of practice for hygiene in the food and drink manufacturing industryKS EAS 38, Labelling of prepackaged foodsKS EAS 803 Nutrition labelling — RequirementsKS EAS 804 Claims on foods — General requirementsKS EAS 805 Use of Nutrition and Health Claims — Requirements</t>
  </si>
  <si>
    <t>Letter of the Federal Service for Veterinary and Phytosanitary Surveillance No. FS-ARe-7/7094-3 as of 11 March 2026</t>
  </si>
  <si>
    <t>This letter introduces temporary restrictions on the imports of live poultry and poultry products to the territory of the Russian Federation, as well as on the transit of live poultry through the territory of the Russian Federation from Malaysia due to the outbreak of Newcastle disease in the country indicated.</t>
  </si>
  <si>
    <t>Live poultry and products derived thereof (including products in packaging transported in hand luggage and luggage for personal use), egg products, meat and edible offal of poultry, poultry meat products, incubation egg of poultry, incubation egg (except poultry egg), live bird (except poultry), feed and feed additives for birds, equipment for the maintenance, slaughter and cutting of birds (HS code(s): 0105; 0207; 0208; 0209; 0210; 0407; 0408; 0410; 0504; 0505; 0511; 1506; 1510; 1516; 1518; 1601; 1602; 1603; 1902; 1904; 2102; 2104; 2106; 2309; 2936; 3504; 3507; 3808; 3824; 3923; 3926; 4206; 4415; 4416; 4421; 7020; 7309; 7310; 7326; 7616; 8436; 8606; 8609; 8716)</t>
  </si>
  <si>
    <t>0105 - Live poultry, "fowls of the species Gallus domesticus, ducks, geese, turkeys and guinea fowls"; 2936 - Provitamins and vitamins, natural or reproduced by synthesis, incl. natural concentrates, derivatives thereof used primarily as vitamins, and intermixtures of the foregoing, whether or not in any solvent; 3504 - Peptones and their derivatives; other protein substances and their derivatives, not elsewhere specified or included; hide powder, whether or not chromed.; 3507 - Enzymes; prepared enzymes, n.e.s.; 3808 - Insecticides, rodenticides, fungicides, herbicides, anti-sprouting products and plant-growth regulators, disinfectants and similar products, put up for retail sale or as preparations or articles, e.g. sulphur-treated bands, wicks and candles, and fly-papers; 3824 - Prepared binders for foundry moulds or cores; chemical products and preparations for the chemical or allied industries, incl. mixtures of natural products, n.e.s.; 3923 - Articles for the conveyance or packaging of goods, of plastics; stoppers, lids, caps and other closures, of plastics; 3926 - Articles of plastics and articles of other materials of heading 3901 to 3914, n.e.s.; 4206 - Articles of gut (other than silk-worm gut), of goldbeater's skin, of bladders or of tendons.; 2309 - Preparations of a kind used in animal feeding; 4415 - Packing cases, boxes, crates, drums and similar packings, of wood; cable-drums of wood; pallets, box pallets and other load boards, of wood; pallet collars of wood (excl. containers specially designed and equipped for one or more modes of transport); 4421 - Other articles of wood, n.e.s.; 7020 - Other articles of glass.; 7309 - Reservoirs, tanks, vats and similar containers for any material (other than compressed or liquefied gas), of iron or steel, of a capacity exceeding 300 l, whether or not lined or heat-insulated, but not fitted with mechanical or thermal equipment.; 7310 - Tanks, casks, drums, cans, boxes and similar containers, of iron or steel, for any material "other than compressed or liquefied gas", of a capacity of &lt;= 300 l, not fitted with mechanical or thermal equipment, whether or not lined or heat-insulated, n.e.s.; 7326 - Articles of iron or steel, n.e.s. (excl. cast articles); 7616 - Articles of aluminium, n.e.s.; 8436 - Agricultural, horticultural, forestry, poultry-keeping or bee-keeping machinery, incl. germination plant fitted with mechanical or thermal equipment; poultry incubators and brooders; parts thereof; 8606 - Railway or tramway goods vans and wagons (excl. self-propelled and luggage vans and post office coaches); 4416 - Casks, barrels, vats, tubs and other coopers' products and parts thereof, of wood, including staves.; 2106 - Food preparations, n.e.s.; 2104 - Soups and broths and preparations therefor; food preparations consisting of finely homogenised mixtures of two or more basic ingredients such as meat, fish, vegetables or fruit, put up for retail sale as infant food or for dietetic purposes, in containers of &lt;= 250 g; 2102 - Yeasts, active or inactive; other dead single-cell micro-organisms, prepared baking powders (excl. single-cell micro-organisms packaged as medicaments);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0210 - Meat and edible offal, salted, in brine, dried or smoked; edible flours and meals of meat or meat offal; 0407 - Birds' eggs, in shell, fresh, preserved or cooked; 0408 - Birds' eggs, not in shell, and egg yolks, fresh, dried, cooked by steaming or by boiling in water, moulded, frozen or otherwise preserved, whether or not containing added sugar or other sweetening matter; 0410 - Insects, turtles' eggs, birds' nests and other edible products of animal origin, n.e.s.; 0504 - Guts, bladders and stomachs of animals (other than fish), whole and pieces thereof, fresh, chilled, frozen, salted, in brine, dried or smoked.; 0505 - Skins and other parts of birds, with their feathers or down, feathers and parts of feathers, whether or not with trimmed edges, and down, not further worked than cleaned, disinfected or treated for preservation; powder and waste of feathers or parts of feathers; 0511 - Animal products n.e.s.; dead animals of all types, unfit for human consumption; 1506 - Other animal fats and oils and their fractions, whether or not refined, but not chemically modified.; 1510 - Other oils and their fractions, obtained solely from olives, whether or not refined, but not chemically modified, incl. blends of these oils or fractions with oils or fractions of heading 1509; 1516 - Animal, vegetable or microbial fats and oils and their fractions, partly or wholly hydrogenated, inter-esterified, re-esterified or elaidinised, whether or not refined, but not further prepared; 1518 - Animal, vegetable or microbial fats and oils and their fractions, boiled, oxidised, dehydrated, sulphurised, blown, polymerised by heat in vacuum or in inert gas or otherwise chemically modified, excluding those of heading 15.16; inedible mixtures or preparations of animal, vegetable or microbial fats or oils or of fractions of different fats or oils of this Chapter, not elsewhere specified or included.; 1601 - Sausages and similar products, of meat, meat offal, blood or insects; food preparations based on these products.; 1602 - Prepared or preserved meat, meat offal, blood or insects (excl. sausages and similar products, and meat extracts and juices); 1603 - Extracts and juices of meat, fish or crustaceans, molluscs or other aquatic invertebrates.; 1902 - Pasta, whether or not cooked or stuffed with meat or other substances or otherwise prepared, such as spaghetti, macaroni, noodles, lasagne, gnocchi, ravioli, cannelloni; couscous, whether or not prepared; 1904 - Prepared foods obtained by the swelling or roasting of cereals or cereal products, e.g. corn flakes; cereals (other than maize "corn") in grain form or in the form of flakes or other worked grains (except flour, groats and meal), pre-cooked or otherwise prepared, n.e.s.; 8609 - Containers (including containers for the transport of fluids) specially designed and equipped for carriage by one or more modes of transport.; 8716 - Trailers and semi-trailers; other vehicles, not mechanically propelled (excl. railway and tramway vehicles); parts thereof, n.e.s.</t>
  </si>
  <si>
    <t>Animal health; Newcastle Disease</t>
  </si>
  <si>
    <r>
      <rPr>
        <sz val="11"/>
        <rFont val="Calibri"/>
      </rPr>
      <t>https://members.wto.org/crnattachments/2026/SPS/RUS/26_01544_00_x.pdf
https://fsvps.gov.ru/files/ukazanie-rosselhoznadzora-ot-11-marta-2026-goda-№-fs-are-7-7094-3/</t>
    </r>
  </si>
  <si>
    <t>Colombia</t>
  </si>
  <si>
    <t>Proyecto de resolución "Por medio de la cual se establecen los requisitos fitosanitarios para la importación a Colombia de grano de Maní (Arachis hypogaea L.) de origen y procedencia Paraguay, para consumo humano, uso industrial y/o comercial" (Draft resolution establishing the phytosanitary requirements for the importation into Colombia of ground-nuts (Arachis hypogaea L.) originating in and coming from Paraguay for human consumption, and industrial and/or commercial use).</t>
  </si>
  <si>
    <t>The notified measure seeks to establish phytosanitary requirements for the importation into Colombia of ground-nuts (Arachis hypogaea L.) originating in and coming from Paraguay for human consumption, and industrial and/or commercial use. The provisions shall apply to all natural or legal persons engaged in the importation of this product into the national territory for the aforementioned uses.</t>
  </si>
  <si>
    <t>Ground-nuts (Arachis hypogaea) (HS code: 1202)</t>
  </si>
  <si>
    <t>1202 - Groundnuts, whether or not shelled or broken (excl. roasted or otherwise cooked)</t>
  </si>
  <si>
    <t>Plant protection (SPS)</t>
  </si>
  <si>
    <t>Plant health</t>
  </si>
  <si>
    <t>Paraguay</t>
  </si>
  <si>
    <t>Enters into force upon publication in the Official Journal</t>
  </si>
  <si>
    <r>
      <rPr>
        <sz val="11"/>
        <rFont val="Calibri"/>
      </rPr>
      <t>https://members.wto.org/crnattachments/2026/SPS/COL/26_01551_00_s.pdf
https://www.sucop.gov.co/entidades/ica/Normativa?IDNorma=28166</t>
    </r>
  </si>
  <si>
    <t>DKS 662-2: 2026 Requirements for electrical installations Part 2: Definitions</t>
  </si>
  <si>
    <t>This Kenya Standard contains the definitions to be used in the KS 662 series Requirements of Electrical Installations.</t>
  </si>
  <si>
    <r>
      <rPr>
        <sz val="11"/>
        <rFont val="Calibri"/>
      </rPr>
      <t>https://members.wto.org/crnattachments/2026/TBT/KEN/26_01517_00_e.pdf</t>
    </r>
  </si>
  <si>
    <t xml:space="preserve">IEC 60364 (All parts): Low-voltage installations.BS 7671:2008. (18th Edition) Requirements for electrical installations.KS IEC 61140, Protection against electric shock — Common aspects for installation and equipmentKS IEC 61851-1, Electric vehicle conductive charging system — Part 1: General requirementsKS IEC 61439 Part 1, Low-voltage switchgear and control gear assemblies — Part 1: General rulesKS IEC 61439 Part 2, Low-voltage switchgear and control gear assemblies — Part 2: Power switchgear and control gear assembliesIEC 61535, Installation couplers intended for permanent connection in fixed installationsKS IEC 60904-3, Photovoltaic devices — Part 3: Measurement principles for terrestrial photovoltaic (PV) solar devices with reference spectral irradiance data_x000D_
</t>
  </si>
  <si>
    <t>DARS 2177:2026 Paintings of buildings</t>
  </si>
  <si>
    <t>This African Standard gives recommendations for good practice in initial painting and maintenance painting of buildings internally and externally, e.g. dwellings, offices, light industrial buildings, schools, hospitals, hotels and public buildings generally, in which decoration is a significant and often the major factor. The code takes into account the need to protect many building materials against the weather or other forms of attack normally encountered.</t>
  </si>
  <si>
    <t>Paint coating processes (ICS code(s): 87.020)</t>
  </si>
  <si>
    <t>87.020 - Paint coating processes</t>
  </si>
  <si>
    <r>
      <rPr>
        <sz val="11"/>
        <rFont val="Calibri"/>
      </rPr>
      <t>https://members.wto.org/crnattachments/2026/TBT/KEN/26_01511_00_e.pdf</t>
    </r>
  </si>
  <si>
    <t>BS 476 (all parts), Fire tests on building materials and structuresBS 1070, Specification for black paint (tar-based)BS 1191-1, Specification for gypsum building plasters — Part 1: Excluding premixed lightweight plastersBS 1191-2, Specification for gypsum building plasters — Part 2: Premixed lightweight plastersBS 1336, Specification for knottingBS 2015, Glossary of paint and related termsBS 2992, Specification for painters' and decorators' brushes for local authorities and public institutions (excluding quality of fillings)BS 3416, Specification for bitumen-based coatings for cold application, suitable for use in contact with potable waterBS 3761, Specification for solvent-based paint removerBS 3900 (all parts), Methods of test for paintsBS 4072, Copper/chromium/arsenic preparations for wood preservationBS 4652, Specification for zinc-rich priming paint (organic media)BS 4756, Specification for ready-mixed aluminium priming paints for woodworkBS 4764, Specification for powder cement paintsBS 5262, Code of practice for external renderingsBS 5493, Code of practice for protective coating of iron and steel structures against corrosionBS 5589, Code of practice for preservation of timberBS 5707, Specification for preparations of wood preservatives in organic solventsBS 6949, Specification for bitumen-based coatings for cold application excluding use in contact with potable waterBS 7079-A3, Preparation of steel substrates before application of paints and related products — Visual assessment of surface cleanliness — Part A3: Preparation grades of welds, cut edges and other areas with surface imperfectionsBS 7664, Specification for undercoat and finishing paintsBS 7956, Specification for primers for woodworkBS 8000-12, Workmanship on building sites — Part 12: Code of practice for decorative wall coverings and paintingBS 8221-1, Code of practice for cleaning and surface repair of buildings — Part 1: Cleaning of natural stones, brick, terracotta and concreteBS 8417, Preservation of timber — RecommendationsBS EN 350-2, Durability of wood and wood-based products — Natural durability of solid wood — Part 2: Guide to natural durability and treatability of selected wood species of importance in EuropeBS EN 927-1:1997, Paints and varnishes — Coating materials and coating systems for exterior wood — Part 1: Classification and selectionBS EN 12811-1, Temporary works equipment — Scaffolds — Part 1: Performance requirements and general designISO 2409, Paints and varnishes — Cross-cut testISO 4618, Paints and varnishes — VocabularyISO 4624, Paints and varnishes — Pull off test for adhesionISO 12944 (all parts), Paints and varnishes — Corrosion protection of steel structures by protective paint systemsDD ENV 927-2, Paints and varnishes — Coating materials and coating systems for exterior wood — Part 2: Performance specification</t>
  </si>
  <si>
    <t>Indonesia</t>
  </si>
  <si>
    <t>Decree of the Deputy of Fish Quarantine of the Indonesian Quarantine Authority Number 13 Year 2025 Concerning Procedures for Registration of Exporters from the Country of Origin</t>
  </si>
  <si>
    <t>The Decree of the Deputy of Fish Quarantine of the Indonesian Quarantine Authority Number 13 Year 2025 establishes the procedures for the registration of exporters from the country of origin intending to export fish and fishery products into Republic of Indonesia, as a pre-border measure risk control instrument to ensure fish health, biosecurity, traceability, and the safety and quality of fishery products. This regulation regulates the procedure or stages of registration, which include harmonization and bilateral communication with the Competent Authority of the exporting country, submission and evaluation of questionnaires (country and exporters), implementation of on-site audits, and review and determination of registration recommendations. It further sets out provisions concerning the addition of commodity scope, extension of registration validity, periodic monitoring and evaluation, as well as mechanisms for suspension or rejection in cases where minimum requirements are not fulfilled. Indonesian Quarantine Authority (IQA) will issue registration numbers to all exporters from the country of origin that comply with the quarantine import requirements for fish and fishery products as stipulated by Indonesia.In addition, IQA as the competent border authority in Indonesia, as mandated by Law Number 21 of 2019 concerning animal, fish and plant quarantine, and as the veterinary quarantine authority in accordance with Government Regulation Number 34 of 2024, IQA plays a significant role in the export, import, and inter-area movement of animal, fish, and plant commodities as well as in ensuring that products entering Indonesia are healthy and safe for human consumption.Concerning the entry into force of the provisions stipulated in this regulation, IQA grants a grace period of 12 (twelve) months, commencing from the date this regulation is notified to the TBT WTO Secretariat.</t>
  </si>
  <si>
    <t>Fish and Fishery Products</t>
  </si>
  <si>
    <t>03 - FISH AND CRUSTACEANS, MOLLUSCS AND OTHER AQUATIC INVERTEBRATES</t>
  </si>
  <si>
    <t>67.120.30 - Fish and fishery products</t>
  </si>
  <si>
    <t>Protection of human health or safety (TBT)</t>
  </si>
  <si>
    <t>Food consumer information, to ensure traceability, compliance with applicable quarantine, sanitary, quality, and safety requirements, as well as effective regulatory oversight</t>
  </si>
  <si>
    <r>
      <rPr>
        <sz val="11"/>
        <rFont val="Calibri"/>
      </rPr>
      <t>https://members.wto.org/crnattachments/2026/TBT/IDN/26_01501_00_x.pdf</t>
    </r>
  </si>
  <si>
    <t>Law No 21 Year 2019 concerning Animal, Fish and Plant QuarantineGovernment Regulation No 29 Year 2023 concerning the implementing regulation of Law Number 21 of 2019 concerning Animal, Fish, and Plant QuarantineDecree of Head of IQA No 14 Year 2024 concerning the Procedures for Integrated Quarantine and Surveillance Measures</t>
  </si>
  <si>
    <t>KS 3049: 2026 Low Carbon Tea — Production and Labelling Requirements</t>
  </si>
  <si>
    <t>This standard specifies requirements for production, processing, blending, packaging, labelling and conformity assessment of low carbon tea. It applies to black, green, purple, white, oolong and other tea types obtained from Camellia sinensis, and to tea blends, intended for prepackaged retail or other channels. It excludes herbal infusions not derived from Camellia sinensis</t>
  </si>
  <si>
    <t>Consumer information, labelling (TBT); Protection of human health or safety (TBT); Quality requirements (TBT)</t>
  </si>
  <si>
    <r>
      <rPr>
        <sz val="11"/>
        <rFont val="Calibri"/>
      </rPr>
      <t>https://members.wto.org/crnattachments/2026/TBT/KEN/26_01514_00_e.pdf</t>
    </r>
  </si>
  <si>
    <t>KS ISO 14067— Greenhouse gases — Carbon footprint of productsISO 14064-1 Part 1 Specification with guidance at the organization level for quantification and reporting of greenhouse gas emissions and removalsPAS 2050 — Specification for the assessment of the life cycle greenhouse gas emissions of goods and servicesKS ISO 22000 Food Safety Management SystemsKS EAS 38 – Labelling of prepackaged foods.</t>
  </si>
  <si>
    <t>Partial Amendment of the Ordinance for Enforcement of the Radio Act, etc. </t>
  </si>
  <si>
    <t>The revisions announced in G/TBT/N/JPN/888 dated 2 December, 2025 will enter into force on 24 March,2026. The texts of the amendments in Japanese are available on the following: _x000D_
Website of the Ministry of Internal Affairs and Communications._x000D_
https://www.soumu.go.jp/menu_hourei/s_shourei.html</t>
  </si>
  <si>
    <t>Radio equipment of radio station for a non-geostationary satellite communication system in the Ka-band, which operates in orbit at an altitude of approximately 600 km.</t>
  </si>
  <si>
    <t>The deployment of a non-geostationary satellite communication system in the Ka-band, which operates in orbit at an altitude of approximately 600 km, aims to meet diverse communication needs across a wide range of users. This includes providing high-speed internet and broadband services, supporting mobile network backhaul, and serving as a backup communication line during emergencies such as natural disasters.</t>
  </si>
  <si>
    <r>
      <rPr>
        <sz val="11"/>
        <rFont val="Calibri"/>
      </rPr>
      <t>Ministerial Ordinance on partial revision of the Ordinance for Enforcement of the Radio Act
 etc.(Ministerial Ordinance of Ministry of Internal Affairs and Communications
 No.28 of 2026.) (Available in Japanese.)
https://www.soumu.go.jp/menu_hourei/s_shourei.html</t>
    </r>
  </si>
  <si>
    <t>Brazil</t>
  </si>
  <si>
    <t>ANP Resolution No. 996, 3 March 2026.</t>
  </si>
  <si>
    <t>To inform the full text of G/TBT/N/BRA/1625. </t>
  </si>
  <si>
    <t>- Liquefied: (HS code(s): 27111); Natural gas (ICS code(s): 75.060)</t>
  </si>
  <si>
    <t>27111 - - Liquefied:; 27111 - - Liquefied:</t>
  </si>
  <si>
    <t>75.060 - Natural gas; 75.060 - Natural gas</t>
  </si>
  <si>
    <t>Protection of human health or safety (TBT); Protection of animal or plant life or health (TBT); Protection of the environment (TBT)</t>
  </si>
  <si>
    <t>Corrigendum to Regular Notification</t>
  </si>
  <si>
    <r>
      <rPr>
        <sz val="11"/>
        <rFont val="Calibri"/>
      </rPr>
      <t>https://members.wto.org/crnattachments/2026/TBT/BRA/26_01550_00_x.pdf</t>
    </r>
  </si>
  <si>
    <t>Notice of Availability of a Pest Risk Analysis for the importation of Fresh Sweet Potato (Ipomoea batatas (L.)Roots from the Republic of Korea into the United States [Docket No. APHIS-2025-0013]</t>
  </si>
  <si>
    <t>We are advising the public that we have prepared a pest risk analysis that evaluates the risks associated with importation of fresh sweet potato (Ipomoea batatas (L.)) roots from the Republic of Korea into the United States for consumption. Currently, fresh sweet potato roots are authorized into Guam and the Commonwealth of the Northern Mariana Islands. Based on the analysis, we have determined that the application of one or more designated phytosanitary measures will be sufficient to mitigate the risks of introducing or disseminating plant pests or noxious weeds via the importation of fresh sweet potato roots from the Republic of Korea into the rest of the United States. We are making the pest risk analysis available to the public for review and comment. (Federal Register, Vol. 91, No. 49, Friday, 13 March 2026, pp 12339-12340.)</t>
  </si>
  <si>
    <t>Fresh sweet potato roots</t>
  </si>
  <si>
    <t>071420 - Sweet potatoes, fresh, chilled, frozen or dried, whether or not sliced or in the form of pellets</t>
  </si>
  <si>
    <t>Plant health; Pests</t>
  </si>
  <si>
    <t>Korea, Republic of</t>
  </si>
  <si>
    <t>To be determined.</t>
  </si>
  <si>
    <r>
      <rPr>
        <sz val="11"/>
        <rFont val="Calibri"/>
      </rPr>
      <t>https://www.regulations.gov/document/APHIS_FRDOC_0001-2895</t>
    </r>
  </si>
  <si>
    <t>Nepal</t>
  </si>
  <si>
    <t>Proposed standard for frozen dessert</t>
  </si>
  <si>
    <t>The Department of Food Technology and Quality Control, Ministry of Agriculture and Livestock Development, Nepal, has proposed a standard for frozen dessert. This quality standard will apply to frozen desserts produced, processed, packaged, sold, and distributed for human consumption.</t>
  </si>
  <si>
    <t>Frozen dessert</t>
  </si>
  <si>
    <t>Food safety; Human health</t>
  </si>
  <si>
    <t>The proposed date of adoption shall be 181 days following the date of publication in the Nepal Gazette.</t>
  </si>
  <si>
    <t>181 days following the date of publication in the Nepal Gazette.</t>
  </si>
  <si>
    <r>
      <rPr>
        <sz val="11"/>
        <rFont val="Calibri"/>
      </rPr>
      <t>https://members.wto.org/crnattachments/2026/SPS/NPL/26_01504_00_x.pdf</t>
    </r>
  </si>
  <si>
    <t>Resolution governing the importation of pigeon pea (Cajanus cajan) grain for consumption originating in IndiaCosta Rica hereby advises that the phytosanitary measures notified in document G/SPS/N/CRI/347 have entered into force pursuant to Resolution No. 013-2026-CV-ARP-SFE of the State Phytosanitary Service, Plant Quarantine Department, Pest Risk Analysis Unit, establishing phytosanitary requirements for the importation of pigeon pea (Cajanus cajan) grain for consumption originating in India. This Resolution was issued at 14:05 on 16 March 2026.https://members.wto.org/crnattachments/2026/SPS/CRI/26_01500_00_s.pdf</t>
  </si>
  <si>
    <t>Pigeon pea (Cajanus cajan) grain for consumption (HS code: 071360)</t>
  </si>
  <si>
    <t>071360 - Dried, shelled pigeon peas "Cajanus cajan", whether or not skinned or split; 071360 - Dried, shelled pigeon peas "Cajanus cajan", whether or not skinned or split</t>
  </si>
  <si>
    <r>
      <rPr>
        <sz val="11"/>
        <rFont val="Calibri"/>
      </rPr>
      <t>https://members.wto.org/crnattachments/2026/SPS/CRI/26_01500_00_s.pdf</t>
    </r>
  </si>
  <si>
    <t>Federal Motor Vehicle Safety Standards; Modernization of FMVSS 
No. 102 To Accommodate ADS-Equipped Vehicles</t>
  </si>
  <si>
    <t>Notice of proposed rulemaking - The National Highway Traffic Safety Administration (NHTSA) is proposing to amend Federal Motor Vehicle Safety 
Standard (FMVSS) No. 102, "Transmission shift position sequence, 
starter interlock, and transmission braking effect.'' The proposed 
modification would except vehicles equipped with Automated Driving 
Systems (ADS) that do not have manually operated driving controls from 
the requirement for a transmission shift position display. This 
rulemaking would remove unnecessary regulatory burdens and costs 
associated with a display designed to aid a person driving the vehicle. 
As the transmission shift position display does not fulfill the same 
safety need in an ADS-equipped vehicle without manually operated 
driving controls, the amendment will not impact vehicle safety. This 
action is part of a larger NHTSA effort to address vehicle automation 
in the agency's regulations.</t>
  </si>
  <si>
    <t>Automated driving systems (ADS) equipped vehicles; Transmissions, suspensions (ICS code(s): 43.040.50)</t>
  </si>
  <si>
    <t>43.040.50 - Transmissions, suspensions</t>
  </si>
  <si>
    <t>Cost saving and productivity enhancement (TBT)</t>
  </si>
  <si>
    <r>
      <rPr>
        <sz val="11"/>
        <rFont val="Calibri"/>
      </rPr>
      <t>https://members.wto.org/crnattachments/2026/TBT/USA/26_01496_00_e.pdf</t>
    </r>
  </si>
  <si>
    <t xml:space="preserve">91 Federal Register (FR) 12532, 16 March 2026; Title 49 Code of Federal Regulations (CFR) Part 571_x000D_
https://www.govinfo.gov/content/pkg/FR-2026-03-16/html/2026-05024.htm_x000D_
https://www.govinfo.gov/content/pkg/FR-2026-03-16/pdf/2026-05024.pdfThis notice of proposed rulemaking is identified by Docket Number NHTSA-2026-0628. The Docket Folder is available on Regulations.gov at https://www.regulations.gov/docket/NHTSA-2026-0628/document and provides access to primary documents as well as comments received. Documents are also accessible from Regulations.gov by searching the Docket Number. _x000D_
_x000D_
</t>
  </si>
  <si>
    <t>Chinese Taipei</t>
  </si>
  <si>
    <t>Legal Inspection Requirements for LED Lamp Controlgear</t>
  </si>
  <si>
    <t>The purpose of this notification is to provide the final texts of "Legal Inspection Requirements for LED Lamp Controlgear" and relevant dates of its implementation. The draft texts notified in "G/TBT/N/TPKM/575" were adopted with minor changes.</t>
  </si>
  <si>
    <t>Static converters (HS code(s): 850440)</t>
  </si>
  <si>
    <t>850440 - Static converters; 850440 - Static converters</t>
  </si>
  <si>
    <t>29.130 - Switchgear and controlgear; 29.130 - Switchgear and controlgear; 29.140 - Lamps and related equipment; 29.140 - Lamps and related equipment</t>
  </si>
  <si>
    <r>
      <rPr>
        <sz val="11"/>
        <rFont val="Calibri"/>
      </rPr>
      <t>https://members.wto.org/crnattachments/2026/TBT/TPKM/final_measure/26_01505_00_e.pdf
https://members.wto.org/crnattachments/2026/TBT/TPKM/final_measure/26_01505_00_x.pdf</t>
    </r>
  </si>
  <si>
    <t>Notice of Rescheduled Public Hearing to Consider Proposal to Permanently Adopt the Emergency Vehicle Emissions Regulations</t>
  </si>
  <si>
    <t>By notice dated and posted on the California Air Resources Board (CARB or Board) rulemaking website on 23 September 2025, and published in the 26 September 2025, California Regulatory Notice Register, Register 2025, Number 39-Z (pages 1192-1213), CARB announced its proposal to consider approving the permanent adoption of the Emergency Vehicle Emissions Regulations adopted via emergency rulemaking (notified as G/TBT/N/USA/2036/Rev.1), and became effective 2 October 2025. On 7 November 2025, CARB released a notice of postponement of the public hearing on the proposal that was initially scheduled for 20 November 2025 (notified as G/TBT/N/USA/2036/Rev.1/Add.1Please be advised that CARB will conduct a public hearing at the date and time noted below to consider approving the permanent adoption of the Emergency Vehicle Emissions Regulations.Date:                 26 March 2026_x000D_
Time:                 9:00 a.m.Pacific Time_x000D_
Location:_x000D_
California Environmental Protection Agency,_x000D_
California Air Resources Board | Byron Sher Auditorium_x000D_
1001 I Street, Sacramento, California 95814_x000D_
Remote Option:  ZoomThis public meeting may continue at 9:00 a.m.Pacific Time on 27 March 2026. Please consult the public agenda, which will be posted ten days before the 26 March 2026, Board Meeting, for important details, including the day on which this item will be considered and how the public can participate via Zoom if they choose to be remote.Further information from CARB:Proposed Emergency Amendment and Adoption of Vehicle Emissions Regulationshttps://ww2.arb.ca.gov/rulemaking/2025/emergencyvehemissionsOn-Road Heavy-Duty Engine and Vehicle Omnibus, Low Carbon Fuel Standard, and Emergency Vehicle Emissions Regulationshttps://ww2.arb.ca.gov/rulemaking/2025/orhdomnibus</t>
  </si>
  <si>
    <t>Heavy-duty engines; Environmental protection (ICS code(s): 13.020); Air quality (ICS code(s): 13.040); Special purpose vehicles (ICS code(s): 43.160)</t>
  </si>
  <si>
    <t>13.020 - Environmental protection; 13.040 - Air quality; 43.160 - Special purpose vehicles; 13.020 - Environmental protection; 13.040 - Air quality; 43.160 - Special purpose vehicles</t>
  </si>
  <si>
    <t>Protection of the environment (TBT)</t>
  </si>
  <si>
    <r>
      <rPr>
        <sz val="11"/>
        <rFont val="Calibri"/>
      </rPr>
      <t>https://members.wto.org/crnattachments/2026/TBT/USA/26_01499_00_e.pdf</t>
    </r>
  </si>
  <si>
    <t>Saudi Arabia, Kingdom of</t>
  </si>
  <si>
    <t>Technical Regulations for energy efficiency - 05-03-16-156</t>
  </si>
  <si>
    <t>This Draft standard specifies the Minimum Energy Performance Standard (MEPS) and testing requirements of electric mains-operated electronic displays, including televisions, monitors and digital signage displays.It shall apply to appliances that operate in AC single-phase circuits of 230V with a frequency of 60 Hz according to SASO GSO 1899, standardized DC input and battery operated.This standard specifies the minimum energy performance requirements for electronic displays. </t>
  </si>
  <si>
    <t>HS codes: See the Annex (1) page 13</t>
  </si>
  <si>
    <t>13.020 - Environmental protection; 13.020 - Environmental protection</t>
  </si>
  <si>
    <t>Prevention of deceptive practices and consumer protection (TBT)</t>
  </si>
  <si>
    <t>Consumer protection and market surveillance</t>
  </si>
  <si>
    <r>
      <rPr>
        <sz val="11"/>
        <rFont val="Calibri"/>
      </rPr>
      <t>https://members.wto.org/crnattachments/2026/TBT/SAU/26_01503_00_e.pdf</t>
    </r>
  </si>
  <si>
    <t>General and Plastic Surgery Devices: Restricted Sale, 
Distribution, and Use of Sunlamp Products; Withdrawal of Proposed Rule</t>
  </si>
  <si>
    <t xml:space="preserve">The Food and Drug Administration (FDA) is announcing the withdrawal of the proposed rule titled "General and Plastic Surgery Devices: Restricted Sale, Distribution, and Use of Sunlamp Products,'' which published in the Federal Register of 22 December 2015 (notified as G/TBT/N/USA/1059). FDA is taking this action because it no longer intends to finalize the proposed rule.The proposed rule published on 22 December 2015 (80 FR 79493) is withdrawn as of 16 March 2026.91 Federal Register (FR) 12524, 16 March 2026; Title 21 Code of Federal Regulations (CFR) Part 878_x000D_
https://www.govinfo.gov/content/pkg/FR-2026-03-16/html/2026-05103.htm_x000D_
https://www.govinfo.gov/content/pkg/FR-2026-03-16/pdf/2026-05103.pdf_x000D_
This withdrawal and the proposed rule notified as G/TBT/N/USA/1059 are identified by Docket Number FDA-2015-N-1765. The Docket Folder is available from Regulations.gov at https://www.regulations.gov/docket/FDA-2015-N-1765/document and provides access to primary and supporting documents as well as comments received. Documents are also accessible from Regulations.gov by searching the Docket Number. _x000D_
</t>
  </si>
  <si>
    <t>Sunlamp products</t>
  </si>
  <si>
    <t>11.040 - Medical equipment; 11.040 - Medical equipment; 13.280 - Radiation protection; 13.280 - Radiation protection</t>
  </si>
  <si>
    <t>Human health</t>
  </si>
  <si>
    <t>Proposed standard for ice cream</t>
  </si>
  <si>
    <t>The Department of Food Technology and Quality Control, Ministry of Agriculture and Livestock Development, Nepal, has proposed a standard for ice cream. This standard will apply to ice cream  produced, processed, packaged, sold, and distributed for human consumption.</t>
  </si>
  <si>
    <t>Ice cream</t>
  </si>
  <si>
    <t>210500 - Ice cream and other edible ice, whether or not containing cocoa</t>
  </si>
  <si>
    <r>
      <rPr>
        <sz val="11"/>
        <rFont val="Calibri"/>
      </rPr>
      <t>https://members.wto.org/crnattachments/2026/SPS/NPL/26_01502_00_e.pdf</t>
    </r>
  </si>
  <si>
    <t>European Union</t>
  </si>
  <si>
    <t>Denial of authorisation of ginseng extract from Panax ginseng C.A. Meyer as a feed additive for cats and dogs</t>
  </si>
  <si>
    <t>The proposal notified in G/SPS/N/EU/887 (19 September 2025) is now adopted by Commission Implementing Regulation (EU) 2026/585 of 13 March 2026 concerning the denial of authorisation of ginseng extract from Panax ginseng C.A. Meyer as a feed additive for cats and dogs (Text with EEA relevance).This Regulation shall enter into force on the twentieth day following that of its publication in the Official Journal of the European Union.</t>
  </si>
  <si>
    <t>Preparations of a kind used in animal feeding (HS code(s): 2309)</t>
  </si>
  <si>
    <t>2309 - Preparations of a kind used in animal feeding; 2309 - Preparations of a kind used in animal feeding</t>
  </si>
  <si>
    <t>Food safety (SPS); Animal health (SPS)</t>
  </si>
  <si>
    <t>Adoption/publication/entry into force of reg.; Animal diseases; Animal health; Food safety; Human health; Food safety; Animal health; Human health; Animal diseases</t>
  </si>
  <si>
    <r>
      <rPr>
        <sz val="11"/>
        <rFont val="Calibri"/>
      </rPr>
      <t>https://members.wto.org/crnattachments/2026/SPS/EEC/26_01527_00_e.pdf
https://members.wto.org/crnattachments/2026/SPS/EEC/26_01527_00_f.pdf
https://members.wto.org/crnattachments/2026/SPS/EEC/26_01527_00_s.pdf</t>
    </r>
  </si>
  <si>
    <t>Notice of Proposed Revision to Requirements for the Importation of Pineapples From Taiwan Into the United States [Docket No. APHIS-2025-0637]</t>
  </si>
  <si>
    <t>We are advising the public that we have prepared a pest risk assessment (PRA) and a risk management document (RMD) relative to the importation into the United States of fresh pineapple (Ananas comosus (L.) Merr.) fruit from Chinese Taipei. Currently, fresh pineapple fruit from Chinese Taipei must be at least 50 percent Smooth Cayenne by lineage in order to be authorized importation into the United States, and may only be imported into Guam or the Commonwealth of the Northern Mariana Islands, among other import conditions. However, the national plant protection organization (NPPO) of Chinese Taipei has asked APHIS for expanded authorization to import any variety of fresh pineapple fruit into any State or Territory of the United States. Based on the NPPO's request, APHIS has prepared a PRA that evaluates the plant pest and noxious weed risk associated with the importation of fresh pineapple fruit from Chinese Taipei into the United States, and an RMD that proposes mitigations to address these risks. We are making the PRA and RMD available to the public for review and comment. (Federal Register Vol. 91, No. 41; Tuesday, 3 March 2026; pp 10364-10365)</t>
  </si>
  <si>
    <t>Fresh pineapple</t>
  </si>
  <si>
    <t>080430 - Fresh or dried pineapples</t>
  </si>
  <si>
    <r>
      <rPr>
        <sz val="11"/>
        <rFont val="Calibri"/>
      </rPr>
      <t>https://www.regulations.gov/document/APHIS-2025-0637-0001</t>
    </r>
  </si>
  <si>
    <t>Federal Motor Vehicle Safety Standards; Modernization of FMVSS 
No. 103 and FMVSS No. 104 To Accommodate ADS-Equipped Vehicles; 
Incorporation by Reference</t>
  </si>
  <si>
    <t>Notice of proposed rulemaking - The National Highway Traffic Safety Administration (NHTSA) is proposing to amend Federal Motor Vehicle Safety Standards (FMVSS) No. 103, "Windshield defrosting and defogging systems,'' and FMVSS No. 104, "Windshield wiping and washing systems.'' The proposed modifications would except vehicles equipped with Automated Driving Systems (ADS) that do not have manually operated driving controls from these standards. This rulemaking would remove unnecessary regulatory burdens and costs associated with systems intended to provide visibility for a person driving the vehicle. As these systems do not fulfill the same safety need on an ADS-equipped vehicle without manually operated driving controls, the proposed changes are not expected to have adverse safety effects. Manufacturers may still provide these systems if they choose to do so. These actions are part of a larger NHTSA effort to address vehicle automation in the agency's regulations. This proposal would also harmonize FMVSS Nos. 103 and 104 with current industry standards through incorporations by reference.</t>
  </si>
  <si>
    <t>Automated driving systems (ADS) equipped vehicles; Glazing and wiper systems (ICS code(s): 43.040.65)</t>
  </si>
  <si>
    <t>43.040.65 - Glazing and wiper systems</t>
  </si>
  <si>
    <r>
      <rPr>
        <sz val="11"/>
        <rFont val="Calibri"/>
      </rPr>
      <t>https://members.wto.org/crnattachments/2026/TBT/USA/26_01497_00_e.pdf</t>
    </r>
  </si>
  <si>
    <t xml:space="preserve">91 Federal Register (FR) 12537, 16 March 2026; Title 49 Code of Federal Regulations (CFR) Part 571_x000D_
https://www.govinfo.gov/content/pkg/FR-2026-03-16/html/2026-05023.htm_x000D_
https://www.govinfo.gov/content/pkg/FR-2026-03-16/pdf/2026-05023.pdfThis notice of proposed rulemaking is identified by Docket Number NHTSA-2026-0629. The Docket Folder is available on Regulations.gov at https://www.regulations.gov/docket/NHTSA-2026-0629/document and provides access to primary documents as well as comments received. Documents are also accessible from Regulations.gov by searching the Docket Number. _x000D_
_x000D_
</t>
  </si>
  <si>
    <t>Lists of products of animal origin, animal by-products and composite products subject to official controls at border control posts</t>
  </si>
  <si>
    <t>The proposal notified in G/SPS/N/EU/888 (29 September 2025) is now adopted by Commission Implementing Regulation (EU) 2026/551 of 13 March 2026 amending the Annex to Implementing Regulation (EU) 2021/632 as regards the lists of products of animal origin, animal by-products and composite products subject to official controls at border control posts (Text with EEA relevance).This Regulation shall enter into force on the twentieth day following that of its publication in the Official Journal of the European Union. It shall apply from 1 October 2026.</t>
  </si>
  <si>
    <t>Products of animal origin, animal by-products and composite products</t>
  </si>
  <si>
    <t>1301 - Lac; natural gums, resins, gum-resins, balsams and other natural oleoresins; 200819 - Nuts and other seeds, incl. mixtures, prepared or preserved (excl. prepared or preserved with vinegar, preserved with sugar but not laid in syrup, jams, fruit jellies, marmalades, fruit purée and pastes, obtained by cooking, and groundnuts); 210690 - Food preparations, n.e.s.; 300213 - Immunological products, unmixed, not put up in measured doses or in forms or packings for retail sale (excl. diagnostic reagents); 300214 - Immunological products, mixed, not put up in measured doses or in forms or packings for retail sale (excl. diagnostic reagents); 300215 - Immunological products, put up in measured doses or in forms or packings for retail sale (excl. diagnostic reagents); 310590 - Mineral or chemical fertilisers containing the two fertilising elements nitrogen and potassium or one principal fertilising substance only, incl. mixtures of animal or vegetable fertilisers with chemical or mineral fertilisers (excl. those in tablets or similar forms, or in packages with a gross weight of &lt;= 10 kg); 3821 - Prepared culture media for the development or maintenance of micro-organisms (including viruses and the like) or of plant, human or animal cells.; 3823 - Industrial monocarboxylic fatty acids; acid oils from refining; industrial fatty alcohols; 3824 - Prepared binders for foundry moulds or cores; chemical products and preparations for the chemical or allied industries, incl. mixtures of natural products, n.e.s.; 1301 - Lac; natural gums, resins, gum-resins, balsams and other natural oleoresins; 200819 - Nuts and other seeds, incl. mixtures, prepared or preserved (excl. prepared or preserved with vinegar, preserved with sugar but not laid in syrup, jams, fruit jellies, marmalades, fruit purée and pastes, obtained by cooking, and groundnuts); 210690 - Food preparations, n.e.s.; 300213 - Immunological products, unmixed, not put up in measured doses or in forms or packings for retail sale (excl. diagnostic reagents); 300214 - Immunological products, mixed, not put up in measured doses or in forms or packings for retail sale (excl. diagnostic reagents); 300215 - Immunological products, put up in measured doses or in forms or packings for retail sale (excl. diagnostic reagents); 310590 - Mineral or chemical fertilisers containing the two fertilising elements nitrogen and potassium or one principal fertilising substance only, incl. mixtures of animal or vegetable fertilisers with chemical or mineral fertilisers (excl. those in tablets or similar forms, or in packages with a gross weight of &lt;= 10 kg); 3821 - Prepared culture media for the development or maintenance of micro-organisms (including viruses and the like) or of plant, human or animal cells.; 3823 - Industrial monocarboxylic fatty acids; acid oils from refining; industrial fatty alcohols; 3824 - Prepared binders for foundry moulds or cores; chemical products and preparations for the chemical or allied industries, incl. mixtures of natural products, n.e.s.</t>
  </si>
  <si>
    <t>Human health; Food safety; Animal health; Animal diseases; Adoption/publication/entry into force of reg.; Animal diseases; Food safety; Animal health; Human health</t>
  </si>
  <si>
    <r>
      <rPr>
        <sz val="11"/>
        <rFont val="Calibri"/>
      </rPr>
      <t>https://members.wto.org/crnattachments/2026/SPS/EEC/26_01528_00_e.pdf
https://members.wto.org/crnattachments/2026/SPS/EEC/26_01528_00_f.pdf
https://members.wto.org/crnattachments/2026/SPS/EEC/26_01528_00_s.pdf</t>
    </r>
  </si>
  <si>
    <t>The implementation on Part B of the “Quarantine Requirements for the Importation of Plants or Plant Products”</t>
  </si>
  <si>
    <t>The Separate Customs Territory of Taiwan, Penghu, Kinmen and Matsu notified the draft of Part B of the “Quarantine Requirements for the Importation of Plants or Plant Products” on 8 January 2026 (G/SPS/N/TPKM/655). This regulation has been published and will enter into force on 1 April 2026.</t>
  </si>
  <si>
    <t>Plants or plant products</t>
  </si>
  <si>
    <t>Adoption/publication/entry into force of reg.; Pests; Plant health; Territory protection; Territory protection; Plant health; Pests</t>
  </si>
  <si>
    <r>
      <rPr>
        <sz val="11"/>
        <rFont val="Calibri"/>
      </rPr>
      <t>https://members.wto.org/crnattachments/2026/SPS/TPKM/26_01507_00_e.pdf</t>
    </r>
  </si>
  <si>
    <t>Denial of authorisation of great burdock extract from Arctium lappa L. as a feed additive for cats and dogs</t>
  </si>
  <si>
    <t>The proposal notified in G/SPS/N/EU/886 (19 September 2025) is now adopted by Commission Implementing Regulation (EU) 2026/548 of 13 March 2026 concerning the denial of authorisation of great burdock extract from Arctium lappa L. as a feed additive for cats and dogs (Text with EEA relevance).This Regulation shall enter into force on the twentieth day following that of its publication in the Official Journal of the European Union.</t>
  </si>
  <si>
    <t>Food safety; Animal health; Animal diseases; Adoption/publication/entry into force of reg.; Human health; Human health; Animal health; Food safety; Animal diseases</t>
  </si>
  <si>
    <r>
      <rPr>
        <sz val="11"/>
        <rFont val="Calibri"/>
      </rPr>
      <t>https://members.wto.org/crnattachments/2026/SPS/EEC/26_01526_00_e.pdf
https://members.wto.org/crnattachments/2026/SPS/EEC/26_01526_00_f.pdf
https://members.wto.org/crnattachments/2026/SPS/EEC/26_01526_00_s.pdf</t>
    </r>
  </si>
  <si>
    <t>Tanzania</t>
  </si>
  <si>
    <t> AFDC 22(4330) DTZS, Chilled and frozen Ostrich meat — Specification, First Edition</t>
  </si>
  <si>
    <t>This Tanzania Standard specifies requirements, sampling and test methods for chilled and frozen ostrich meat intended for human consumption.Note: This Draft Tanzania Standard was also notified under TBT Committee.</t>
  </si>
  <si>
    <t>Meat and edible offal of fowls of the species Gallus domesticus, ducks, geese, turkeys and guinea fowls, fresh, chilled or frozen (HS code(s): 0207); Meat and meat products (ICS code(s): 67.120.10)</t>
  </si>
  <si>
    <t>0207 - Meat and edible offal of fowls of the species Gallus domesticus, ducks, geese, turkeys and guinea fowls, fresh, chilled or frozen</t>
  </si>
  <si>
    <t>67.120.10 - Meat and meat products</t>
  </si>
  <si>
    <t>To be determined and notified.</t>
  </si>
  <si>
    <r>
      <rPr>
        <sz val="11"/>
        <rFont val="Calibri"/>
      </rPr>
      <t>https://members.wto.org/crnattachments/2026/SPS/TZA/26_01421_00_e.pdf</t>
    </r>
  </si>
  <si>
    <t>AFDC (4297) DTZS, Lamb and mutton carcasses and meat cuts — Specification, First Edition</t>
  </si>
  <si>
    <t>This Tanzania Standard specifies the requirements, sampling and test methods for fresh, chilled and frozen lamb and mutton carcasses and meat cuts intended for human consumption.Note: This Draft Tanzania Standard was also notified under TBT Committee.</t>
  </si>
  <si>
    <t>Meat and edible meat offal (HS code(s): 02); Meat and meat products (ICS code(s): 67.120.10)</t>
  </si>
  <si>
    <t>02 - MEAT AND EDIBLE MEAT OFFAL</t>
  </si>
  <si>
    <r>
      <rPr>
        <sz val="11"/>
        <rFont val="Calibri"/>
      </rPr>
      <t>https://members.wto.org/crnattachments/2026/SPS/TZA/26_01428_00_e.pdf</t>
    </r>
  </si>
  <si>
    <t>Conformity assessment requirements for air conditioners - Consolidated</t>
  </si>
  <si>
    <t>Rectification of Inmetro Ordinance No. 269, 22 June 2021, which approves the Conformity Assessment Requirements for Air Conditioners - Consolidated, published in the Official Gazette of the Union on 26 June 2021, pages 134 to 146, section 1.https://www.in.gov.br/web/dou/-/retificacao-692422436</t>
  </si>
  <si>
    <t>Air conditioning machines comprising a motor-driven fan and elements for changing the temperature and humidity, incl. those machines in which the humidity cannot be separately regulated; parts thereof (HS code(s): 8415); Ventilators. Fans. Air-conditioners (ICS code(s): 23.120)</t>
  </si>
  <si>
    <t>8415 - Air conditioning machines comprising a motor-driven fan and elements for changing the temperature and humidity, incl. those machines in which the humidity cannot be separately regulated; parts thereof; 8415 - Air conditioning machines comprising a motor-driven fan and elements for changing the temperature and humidity, incl. those machines in which the humidity cannot be separately regulated; parts thereof</t>
  </si>
  <si>
    <t>23.120 - Ventilators. Fans. Air-conditioners; 23.120 - Ventilators. Fans. Air-conditioners</t>
  </si>
  <si>
    <t>National Standard of the P.R.C., Hazardous properties inspection code for dangerous goods of corrosive substances</t>
  </si>
  <si>
    <t>This document specifies the terms and definitions, requirements, test and inspection rules for dangerous goods of corrosive substances._x000D_
This document applies to the inspection of the hazardous properties and applicable package categories for dangerous goods of corrosive substances.</t>
  </si>
  <si>
    <t>Dangerous goods of corrosive substances (HS code(s): 293190); (ICS code(s): 13.300)</t>
  </si>
  <si>
    <t>293190 - Separate chemically defined organo-inorganic compounds (excl. organo-sulphur, mercury, tetramethyl lead, tetraethyl lead and tributyltin compounds, and organo-phosphorous derivatives)</t>
  </si>
  <si>
    <t>13.300 - Protection against dangerous goods</t>
  </si>
  <si>
    <t>Prevention of deceptive practices and consumer protection (TBT); Protection of human health or safety (TBT)</t>
  </si>
  <si>
    <t>3 months after approval</t>
  </si>
  <si>
    <r>
      <rPr>
        <sz val="11"/>
        <rFont val="Calibri"/>
      </rPr>
      <t>https://members.wto.org/crnattachments/2026/TBT/CHN/26_01481_00_x.pdf</t>
    </r>
  </si>
  <si>
    <t>Costa Rican Technical Regulation (RTCR) No. 503:2021. Electrical products. Cookers, hobs, cooktops, induction hobs and electric ovens for domestic use. Energy efficiency requirements.</t>
  </si>
  <si>
    <t>Approval: Normative equivalence has been granted between the standard CAN/CSA-C358-03, "Energy consumption test methods for household electric ranges", as applied to the list of products contained in Annex A of report EQ 003-2026, and Executive Decree No. 43524 Costa Rican Technical Regulation (RTCR) No. 503:2021. Electrical products. Cookers, hobs, cooktops, induction 1 This information can be provided by including a website address, a PDF attachment, or other information on where the text of the final/modified measure and/or interpretative guidance can be obtained.G/TBT/N/CRI/193/Add.20- 2 - hobs and electric ovens for domestic use. Energy efficiency requirements (INTE E17‐1:2024, "Energy efficiency. Electric cookers, hobs and electric ovens for domestic use. Part 2: Labelling", INTE E17-2:2024, "Energy efficiency. Household refrigerators and freezers. Part 2: Labelling", INTE E17-3:2024, "Energy efficiency. Electric cookers, hobs and electric ovens for domestic use. Part 3: Test method"), pursuant to Executive Decrees No. 37662-MEIC-H-MICIT "Procedure for demonstrating conformity with technical regulations" and No. 44395-MEIC "Procedure for demonstrating equivalence with a Costa Rican or Central American Technical Regulation" and the provisions of the first recital of the notified resolution.__________</t>
  </si>
  <si>
    <t>Domestic electrical appliances in general (ICS code(s): 97.030)</t>
  </si>
  <si>
    <t>97.030 - Domestic electrical appliances in general; 97.030 - Domestic electrical appliances in general</t>
  </si>
  <si>
    <t>Prevention of deceptive practices and consumer protection (TBT); Protection of the environment (TBT)</t>
  </si>
  <si>
    <t>Protección del ambiente y prevención de prácticas que puedan inducir a error o engaño del consumidor.</t>
  </si>
  <si>
    <r>
      <rPr>
        <sz val="11"/>
        <rFont val="Calibri"/>
      </rPr>
      <t>https://members.wto.org/crnattachments/2026/TBT/CRI/final_measure/26_01456_00_s.pdf
http://reglatec.go.cr/reglatec/principal.jsp</t>
    </r>
  </si>
  <si>
    <t>AFDC 22 (4296) DTZS, Chicken meat — Specification, First Edition</t>
  </si>
  <si>
    <t>This Tanzania Standard specifies the requirements, sampling and test methods for raw and spiced chicken “Gallus domesticus” meat carcasses or parts intended for human consumption.Note: This Draft Tanzania Standard was also notified under TBT Committee.</t>
  </si>
  <si>
    <t>02 - MEAT AND EDIBLE MEAT OFFAL; 02071 - - Of fowls of the species Gallus domesticus:</t>
  </si>
  <si>
    <r>
      <rPr>
        <sz val="11"/>
        <rFont val="Calibri"/>
      </rPr>
      <t>https://members.wto.org/crnattachments/2026/SPS/TZA/26_01427_00_e.pdf</t>
    </r>
  </si>
  <si>
    <t>AFDC 14 (4313) DTZS, Whey milk drink — Specification, First Edition</t>
  </si>
  <si>
    <t>This Tanzania standard specifies requirements, sampling and test methods for whey milk drink intended for direct human consumption.Note: This Draft Tanzania Standard was also notified under TBT Committee.</t>
  </si>
  <si>
    <t>Other: (HS code(s): 04029); Milk and processed milk products (ICS code(s): 67.100.10)</t>
  </si>
  <si>
    <t>04029 - - Other:</t>
  </si>
  <si>
    <t>67.100.10 - Milk and processed milk products</t>
  </si>
  <si>
    <r>
      <rPr>
        <sz val="11"/>
        <rFont val="Calibri"/>
      </rPr>
      <t>https://members.wto.org/crnattachments/2026/SPS/TZA/26_01423_00_e.pdf</t>
    </r>
  </si>
  <si>
    <t>National Standard of the P.R.C., Hazardous properties inspection code for dangerous goods of  toxic gases</t>
  </si>
  <si>
    <t>This document specifies the terms and definitions, requirements, test and inspection rules for toxic gas hazardous goods._x000D_
This document applies to the inspection of hazardous properties of toxic gas dangerous goods.</t>
  </si>
  <si>
    <t>Dangerous goods of  toxic gases (HS code(s): 271111; 280429); (ICS code(s): 13.300)</t>
  </si>
  <si>
    <t>271111 - Natural gas, liquefied; 280429 - Rare gases (excl. argon)</t>
  </si>
  <si>
    <r>
      <rPr>
        <sz val="11"/>
        <rFont val="Calibri"/>
      </rPr>
      <t>https://members.wto.org/crnattachments/2026/TBT/CHN/26_01479_00_x.pdf</t>
    </r>
  </si>
  <si>
    <t>National Standard of the P.R.C., Oriental  tobacco—Grading  technical requirement</t>
  </si>
  <si>
    <t>This document specifies the terms and definitions, types, groups, technical requirements for grading, purchasing requirements,  standard samples, and inspection methods for oriental tobacco._x000D_
This document applies to the grading, purchasing, handover, and inspection of oriental tobacco after curing and during processing.</t>
  </si>
  <si>
    <t>Oriental tobacco (HS code(s): 240120); (ICS code(s): 65.160)</t>
  </si>
  <si>
    <t>240120 - Tobacco, partly or wholly stemmed or stripped, otherwise unmanufactured</t>
  </si>
  <si>
    <t>65.160 - Tobacco, tobacco products and related equipment</t>
  </si>
  <si>
    <r>
      <rPr>
        <sz val="11"/>
        <rFont val="Calibri"/>
      </rPr>
      <t>https://members.wto.org/crnattachments/2026/TBT/CHN/26_01470_00_x.pdf</t>
    </r>
  </si>
  <si>
    <t>National Standard of the P.R.C., Hazardous properties inspection code for dangerous goods of organic peroxides</t>
  </si>
  <si>
    <t>This document specifies the terms and definitions, classification, requirements, test and inspection rules for organic peroxide dangerous goods._x000D_
This document applies to the inspection of hazardous properties and applicable packaging categories of organic peroxide dangerous goods.</t>
  </si>
  <si>
    <t>Dangerous goods of organic peroxides (HS code(s): 381590); (ICS code(s): 13.300)</t>
  </si>
  <si>
    <t>381590 - Reaction initiators, reaction accelerators and catalytic preparations, n.e.s. (excl. rubber accelerators and supported catalysts)</t>
  </si>
  <si>
    <r>
      <rPr>
        <sz val="11"/>
        <rFont val="Calibri"/>
      </rPr>
      <t>https://members.wto.org/crnattachments/2026/TBT/CHN/26_01480_00_x.pdf</t>
    </r>
  </si>
  <si>
    <t>DEAS 1326: 2026, Gum Arabic — Specification, First Edition</t>
  </si>
  <si>
    <t>This draft East African Standard specifies requirements, sampling and test methods for food grade Gum Arabic obtained from Acacia senegal (L.) Willdenow var. senegal or Acacia seyal (family Leguminosae) also known as Acacia gum intended for human consumption.Note: This Draft Tanzania Standard was also notified under TBT Committee.</t>
  </si>
  <si>
    <t>Natural gum Arabic (HS code(s): 130120); Food products in general (ICS code(s): 67.040)</t>
  </si>
  <si>
    <t>130120 - Natural gum Arabic</t>
  </si>
  <si>
    <t>67.040 - Food products in general</t>
  </si>
  <si>
    <r>
      <rPr>
        <sz val="11"/>
        <rFont val="Calibri"/>
      </rPr>
      <t>https://members.wto.org/crnattachments/2026/SPS/TZA/26_01424_00_e.pdf</t>
    </r>
  </si>
  <si>
    <t>AFDC 14 (3726) DTZS, Group of cheeses in brine (FETA) – Specification, First Edition</t>
  </si>
  <si>
    <t>This Tanzania standard specifies requirements, sampling and test methods for cheeses in brine intended for direct consumption or for further processing.Note: This Draft Tanzania Standard was also notified under TBT Committee.</t>
  </si>
  <si>
    <t>Cheese and curd (HS code(s): 0406); Cheese (ICS code(s): 67.100.30)</t>
  </si>
  <si>
    <t>0406 - Cheese and curd</t>
  </si>
  <si>
    <t>67.100.30 - Cheese</t>
  </si>
  <si>
    <r>
      <rPr>
        <sz val="11"/>
        <rFont val="Calibri"/>
      </rPr>
      <t>https://members.wto.org/crnattachments/2026/SPS/TZA/26_01420_00_e.pdf</t>
    </r>
  </si>
  <si>
    <t>National Standard of the P.R.C., Safety technical specification for batteries used in electrically powered wheelchair</t>
  </si>
  <si>
    <t>This document specifies the safety requirements for cells and batteries used in electric wheelchairs, and describes the corresponding test methods._x000D_
This document applies to lead-acid cells, nickel-system cells, lithium-ion cells, sodium-ion cells and batteries for electrically powered wheelchairs. It may also be taken as reference for single-wheel traction vehicles with a steering handle (wheelchair head) equipped with cells and batteries.</t>
  </si>
  <si>
    <t>Lead-acid cells, nickel-system cells, lithium-ion cells, sodium-ion cells and batteries used in electrically powered wheelchair (HS code(s): 850650; 850710; 850720; 850730; 850750; 850760); (ICS code(s): 29.220.99)</t>
  </si>
  <si>
    <t>850760 - Lithium-ion accumulators (excl. spent); 850650 - Lithium cells and batteries (excl. spent); 850710 - Lead-acid accumulators of a kind used for starting piston engine "starter batteries" (excl. spent); 850720 - Lead acid accumulators (excl. spent and starter batteries); 850730 - Nickel-cadmium accumulators (excl. spent); 850750 - Nickel-metal hydride accumulators (excl. spent)</t>
  </si>
  <si>
    <t>29.220.99 - Other cells and batteries</t>
  </si>
  <si>
    <r>
      <rPr>
        <sz val="11"/>
        <rFont val="Calibri"/>
      </rPr>
      <t>https://members.wto.org/crnattachments/2026/TBT/CHN/26_01462_00_x.pdf</t>
    </r>
  </si>
  <si>
    <t>Regulation on Safety Technology for Transportable Pressure Vessel (Draft of comments)</t>
  </si>
  <si>
    <t>This regulation is formulated to ensure the safe operation of transportable pressure vessels (TPVs), prevent and reduce accidents, safeguard life and property of the people, and promote socio-economic development. _x000D_
It establishes technical requirements for the materials, design, manufacturing, inspection, operation, filling and type testing of TPVs listed in the Special Equipment Catalogue(2014) within the territory of the People’s Republic of China.</t>
  </si>
  <si>
    <t>Railway tank car, road tanker, tank container, tube trailer, tube skid container, cylinder skid container (HS code(s): 7311); (ICS code(s): 23.020.20)</t>
  </si>
  <si>
    <t>7311 - Containers for compressed or liquefied gas, of iron or steel.</t>
  </si>
  <si>
    <t>23.020.20 - Vessels and containers mounted on vehicles</t>
  </si>
  <si>
    <t>Protection of human health or safety (TBT); Quality requirements (TBT); Reducing trade barriers and facilitating trade (TBT)</t>
  </si>
  <si>
    <r>
      <rPr>
        <sz val="11"/>
        <rFont val="Calibri"/>
      </rPr>
      <t>https://members.wto.org/crnattachments/2026/TBT/CHN/26_01493_00_x.pdf
https://members.wto.org/crnattachments/2026/TBT/CHN/26_01493_01_x.pdf
https://members.wto.org/crnattachments/2026/TBT/CHN/26_01493_02_x.pdf</t>
    </r>
  </si>
  <si>
    <t>Letter of Special Equipment Safety Supervision Bureau of SAMR solicit opinions on Special Equipment Catalogue (2014)</t>
  </si>
  <si>
    <t>AFDC 7 (4025) DTZS, Essential oil of cardamom - Specification, First Edition</t>
  </si>
  <si>
    <t>This Tanzania Standard specifies the requirements, methods of sampling and test for essential oil of cardamom intended for human consumption.Note: This Draft Tanzania Standard was also notified under TBT Committee.</t>
  </si>
  <si>
    <t>Essential oils other than those of citrus fruit: (HS code(s): 33012); Essential oils (ICS code(s): 71.100.60)</t>
  </si>
  <si>
    <t>33012 - - Essential oils other than those of citrus fruit:</t>
  </si>
  <si>
    <t>71.100.60 - Essential oils</t>
  </si>
  <si>
    <r>
      <rPr>
        <sz val="11"/>
        <rFont val="Calibri"/>
      </rPr>
      <t>https://members.wto.org/crnattachments/2026/SPS/TZA/26_01445_00_e.pdf</t>
    </r>
  </si>
  <si>
    <t>Draft Commission Implementing Regulation amending Implementing Regulation (EU) 2019/2072 as regards exemptions from the measures to prevent the presence of regulated non-quarantine pests on specific plants for planting</t>
  </si>
  <si>
    <t>The draft legal act amends Article 6(3) of Implementing Regulation (EU) 2019/2072 and adds a new Article 6a, in view of clarifying the cases of plants for planting, -either imported into the European Union or moved within the European Union-, where exemptions from the rules of Regulated Non-Quarantine Pests (RNQPs) are possible. Certain conditions are put in place under which those exemptions should be applied. In this context:Article 6(3) aligns the cases of plants for planting exempted from the RNQP requirements with the cases of the corresponding plant propagating material exempted from the scope of the EU marketing Directives (Directives 66/401/EEC, 66/402/EEC, 68/193/EEC, 98/56/EC, 1999/105/EC, 2002/54/EC, 2002/55/EC, 2002/56/EC, 2002/57/EC, 2008/72/EC and 2008/90/EC);New Article 6a clarifies the cases of seed not finally certified and seed as grown, imported into the European Union or moved within the European Union, which can be destined for further processing before being placed on the EU market. The clarification of the exemptions from the rules for RNQPs, has as objective to facilitate trade while the envisaged conditions ensure plant protection.</t>
  </si>
  <si>
    <t>Plants (HS Chapters: 06 (live plants)</t>
  </si>
  <si>
    <t>06 - LIVE TREES AND OTHER PLANTS; BULBS, ROOTS AND THE LIKE; CUT FLOWERS AND ORNAMENTAL FOLIAGE</t>
  </si>
  <si>
    <t>June 2026</t>
  </si>
  <si>
    <t>This Regulation shall enter into force and become immediately applicable on the twentieth day following that of its publication in the Official Journal of the European Union.</t>
  </si>
  <si>
    <r>
      <rPr>
        <sz val="11"/>
        <rFont val="Calibri"/>
      </rPr>
      <t>https://members.wto.org/crnattachments/2026/SPS/EEC/26_01448_00_e.pdf</t>
    </r>
  </si>
  <si>
    <t>South Africa</t>
  </si>
  <si>
    <t>Veterinary Health Certificate in Respects of Dogs for Export to the Republic of South Africa</t>
  </si>
  <si>
    <t>Due to international changes in the availability of reagent for the Babesia gibsoni Immunofluorescence Antibody Test (IFAT) and the Brucella canis disease status in several countries, South Africa has revised the import conditions for domestic dogs with regards to the testing requirements and certification for these diseases.</t>
  </si>
  <si>
    <t>Live domestic dogs</t>
  </si>
  <si>
    <t>01 - LIVE ANIMALS; 010619 - Live mammals (excl. primates, whales, dolphins and porpoises, manatees and dugongs, seals, sea lions and walruses, camels and other camelids, rabbits and hares, horses, asses, mules, hinnies, bovines, pigs, sheep and goats)</t>
  </si>
  <si>
    <t>Animal diseases; Animal health</t>
  </si>
  <si>
    <t>Sixty days from the date of circulation.</t>
  </si>
  <si>
    <t>Sixty days from the date of circulation, the veterinary health certificate will be implemented.</t>
  </si>
  <si>
    <r>
      <rPr>
        <sz val="11"/>
        <rFont val="Calibri"/>
      </rPr>
      <t>https://members.wto.org/crnattachments/2026/SPS/ZAF/26_01447_00_e.pdf</t>
    </r>
  </si>
  <si>
    <t>National Standard of the P.R.C., Compatibility requirements of automatic fire alarm system components</t>
  </si>
  <si>
    <t>This document specifies the requirements for the compatibility and connectability of components in automatic fire alarm systems._x000D_
This document applies to the evaluation of compatibility and connectability of automatic fire alarm systems component.</t>
  </si>
  <si>
    <t>Automatic fire alarm system components (HS code(s): 853190); (ICS code(s): 13.220.20)</t>
  </si>
  <si>
    <t>853190 - Parts of electric sound or visual signalling apparatus, n.e.s.</t>
  </si>
  <si>
    <t>13.220.20 - Fire protection</t>
  </si>
  <si>
    <r>
      <rPr>
        <sz val="11"/>
        <rFont val="Calibri"/>
      </rPr>
      <t>https://members.wto.org/crnattachments/2026/TBT/CHN/26_01469_00_x.pdf</t>
    </r>
  </si>
  <si>
    <t>AFDC 15 (2800) DTZS, Soft candies - Specification, First Edition</t>
  </si>
  <si>
    <t>This Tanzania Standard specifies requirements and methods of sampling and testing for soft candies intended for human consumption._x000D_
This standard does not apply to toffee, caramel and fudges in which specific national standard is available.Note: This Draft Tanzania Standard was also notified under TBT Committee.</t>
  </si>
  <si>
    <t>Sugars and sugar confectionery (HS code(s): 17); Sugar and sugar products (ICS code(s): 67.180.10)</t>
  </si>
  <si>
    <t>17 - SUGARS AND SUGAR CONFECTIONERY</t>
  </si>
  <si>
    <t>67.180.10 - Sugar and sugar products</t>
  </si>
  <si>
    <r>
      <rPr>
        <sz val="11"/>
        <rFont val="Calibri"/>
      </rPr>
      <t>https://members.wto.org/crnattachments/2026/SPS/TZA/26_01425_00_e.pdf</t>
    </r>
  </si>
  <si>
    <t>Uganda</t>
  </si>
  <si>
    <t>Draft Commission Implementing Regulation amending Annexes II, VII and VIII to Implementing Regulation (EU) 2019/2072 as regards measures to prevent the entry into, presence, establishment and spread within, the Union territory of Meloidogyne graminicola Golden &amp; Birchfield</t>
  </si>
  <si>
    <t>The draft legal act provides for measures against Meloidogyne graminicola. These measures should replace temporary measures provided under Regulation (EU) 2022/1372 which will expire on 30 June 2026.This includes measures regarding the introduction of rooted plants for planting of Oryza sativa that have been grown in soil, originating in countries, areas or places of production which are free from Meloidogyne graminicola</t>
  </si>
  <si>
    <t>Plant diseases; Plant health</t>
  </si>
  <si>
    <r>
      <rPr>
        <sz val="11"/>
        <rFont val="Calibri"/>
      </rPr>
      <t>https://members.wto.org/crnattachments/2026/SPS/EEC/26_01450_00_e.pdf
https://members.wto.org/crnattachments/2026/SPS/EEC/26_01450_01_e.pdf</t>
    </r>
  </si>
  <si>
    <t>National Standard of the P.R.C., Hazardous properties inspection code for dangerous goods of oxidizing substances</t>
  </si>
  <si>
    <t>This document specifies the terms and definitions, requirements, test and inspection rules for oxidizing dangerous goods._x000D_
This document applies to the hazard characteristics inspection of oxidizing dangerous goods.</t>
  </si>
  <si>
    <t>Dangerous goods of oxidizing substances (HS code(s): 281129); (ICS code(s): 13.300)</t>
  </si>
  <si>
    <t>281129 - Inorganic oxygen compounds of non-metals (excl. diphosphorus pentaoxide, oxides of boron, carbon dioxide and silicon dioxide)</t>
  </si>
  <si>
    <r>
      <rPr>
        <sz val="11"/>
        <rFont val="Calibri"/>
      </rPr>
      <t>https://members.wto.org/crnattachments/2026/TBT/CHN/26_01474_00_x.pdf</t>
    </r>
  </si>
  <si>
    <t>Consolidation of conformity assessment requirements for refrigerators and similar.</t>
  </si>
  <si>
    <t>Rectification of Inmetro Ordinance No. 332, 2 August 2021, which approves the Conformity Assessment Requirements for Refrigerators and Similar Products - Consolidated, published in the Official Gazette of the Union on 4 August 2021, pages 134 to 146, section 1.https://www.in.gov.br/web/dou/-/retificacao-692402951</t>
  </si>
  <si>
    <t>Refrigerators, freezers and other refrigerating or freezing equipment (HS 8418).</t>
  </si>
  <si>
    <t>8418 - Refrigerators, freezers and other refrigerating or freezing equipment, electric or other; heat pumps; parts thereof (excl. air conditioning machines of heading 8415); 8418 - Refrigerators, freezers and other refrigerating or freezing equipment, electric or other; heat pumps; parts thereof (excl. air conditioning machines of heading 8415); 8418 - Refrigerators, freezers and other refrigerating or freezing equipment, electric or other; heat pumps; parts thereof (excl. air conditioning machines of heading 8415)</t>
  </si>
  <si>
    <t>97.040.30 - Domestic refrigerating appliances; 97.040.30 - Domestic refrigerating appliances; 97.040.30 - Domestic refrigerating appliances</t>
  </si>
  <si>
    <t>Consumer information, labelling (TBT); Protection of human health or safety (TBT); Protection of the environment (TBT)</t>
  </si>
  <si>
    <t>Consumer security and information; environment protection.</t>
  </si>
  <si>
    <t>Update of the import protocol for live freshwater ornamental fish, live marine ornamental fish and ornamental crustaceans (revision to G/SPS/N/MYS/26)</t>
  </si>
  <si>
    <t>The Department of Fisheries Malaysia, according to the Section 40 on Control of Live Fish, Fisheries Act 1985 (Act 317) has reviewed the notification of G/SPS/N/MYS/26 (7 January 2011). This amendment accounts for the reclassification and consolidation of species within their respective commodity groups. Furthermore, it incorporates requirements for disease analysis, biosecurity risks, and the specific purpose of exportation to Malaysia. The purpose of this notification is to inform all countries on the updated protocol for the importation of:Live Freshwater Ornamental Fish;Live Marine Ornamental Fish; and Live Ornamental Crustaceans.Freshwater and marine ornamental fish exhibit distinct profiles of disease susceptibility due to fundamental differences in their aquatic environments. These differences, particularly in water chemistry and ecology, directly influence pathogen viability, transmission, and host-pathogen interactions.The main content of the protocols is as follows:Import Conditions Prior to Arrival in Malaysia;Animal Health Certification Requirements for the Import of Live Ornamental Fish into Malaysia;Import Conditions on Arrival in Malaysian Territory.This import protocol mandates that all importers adhere to the stipulated conditions prior to consignment arrival, meet all health certification standards, and comply with all procedures upon arrival in Malaysia, as outlined in Annex I.According to Fisheries Act 1985, “Fish” means any aquatic animal or plant life, sedentary or not, and includes all species of finfish, crustacea, mollusca, aquatic mammals, or their eggs or spawn, fry, fingerling, spat or young, but does not include any species of otters, turtles or their eggs.</t>
  </si>
  <si>
    <t>Liveornamental aquatic animals</t>
  </si>
  <si>
    <t>Animal health (SPS); Protect humans from animal/plant pest or disease (SPS)</t>
  </si>
  <si>
    <t>Animal health; Animal diseases</t>
  </si>
  <si>
    <r>
      <rPr>
        <sz val="11"/>
        <rFont val="Calibri"/>
      </rPr>
      <t>https://members.wto.org/crnattachments/2026/SPS/MYS/26_01399_00_e.pdf
https://members.wto.org/crnattachments/2026/SPS/MYS/26_01399_01_e.pdf
https://members.wto.org/crnattachments/2026/SPS/MYS/26_01399_02_e.pdf</t>
    </r>
  </si>
  <si>
    <t>AFDC 14 (3721) DTZS, Holomo cheese – Specification, First Edition</t>
  </si>
  <si>
    <t>This Tanzania standard specifies requirements, sampling and test methods for holomo cheese intended for direct consumption or for further processing.Note: This Draft Tanzania Standard was also notified under TBT Committee.</t>
  </si>
  <si>
    <r>
      <rPr>
        <sz val="11"/>
        <rFont val="Calibri"/>
      </rPr>
      <t>https://members.wto.org/crnattachments/2026/SPS/TZA/26_01419_00_e.pdf</t>
    </r>
  </si>
  <si>
    <t>National Standard of the P.R.C., Hazardous properties inspection code for dangerous goods of flammable liquid</t>
  </si>
  <si>
    <t>This document specifies the terms and definitions, requirements, test and inspection rules for dangerous goods of flammable liquid._x000D_
This document applies to the inspection of the hazardous properties for dangerous goods of flammable liquid.</t>
  </si>
  <si>
    <t>Dangerous goods of flammable liquid (HS code(s): 360690); (ICS code(s): 13.300)</t>
  </si>
  <si>
    <t>360690 - Ferro-cerium and other pyrophoric alloys in all forms; metaldehyde, hexamethylenetetramine and similar products in tablets, sticks or similar forms, for use as fuel; alcohol-based fuels and prepared fuels of a similar kind, whether solid or in paste form; resin torches, firelighters and the like</t>
  </si>
  <si>
    <r>
      <rPr>
        <sz val="11"/>
        <rFont val="Calibri"/>
      </rPr>
      <t>https://members.wto.org/crnattachments/2026/TBT/CHN/26_01478_00_x.pdf</t>
    </r>
  </si>
  <si>
    <t>National Standard of the P.R.C., Safety code for the packaging of yellow phosphorus—Use appraisal</t>
  </si>
  <si>
    <t>This document specifies the identification requirements, sampling, identification content and identification criteria for the use identification of yellow phosphorus packaging._x000D_
This document applies to the use appraisal of yellow phosphorus packaging that is immersed in water, weighs less than 400kg, and hermetically sealed.</t>
  </si>
  <si>
    <t>Yellow phosphorus (HS code(s): 280470); (ICS code(s): 13.300)</t>
  </si>
  <si>
    <t>280470 - Phosphorus</t>
  </si>
  <si>
    <r>
      <rPr>
        <sz val="11"/>
        <rFont val="Calibri"/>
      </rPr>
      <t>https://members.wto.org/crnattachments/2026/TBT/CHN/26_01486_00_x.pdf</t>
    </r>
  </si>
  <si>
    <t>National Standard of the P.R.C., Safety of lithium ion cells and batteries used in electronic and electrical equipment — Part 3: electric tools</t>
  </si>
  <si>
    <t>This document specifies the safety requirements and test methods for lithium-ion cells and batteries used in electric tools._x000D_
This document applies to lithium-ion cells and batteries for electric tools for general applications. _x000D_
Additional requirements may apply to lithium-ion cells and batteries for electric tools for special applications, such as medical, mining, and underwater operations.</t>
  </si>
  <si>
    <t>Cells and batteries used in electric tools (HS code(s): 850650; 850760); (ICS code(s): 29.220.99)</t>
  </si>
  <si>
    <t>850760 - Lithium-ion accumulators (excl. spent); 850650 - Lithium cells and batteries (excl. spent)</t>
  </si>
  <si>
    <r>
      <rPr>
        <sz val="11"/>
        <rFont val="Calibri"/>
      </rPr>
      <t>https://members.wto.org/crnattachments/2026/TBT/CHN/26_01467_00_x.pdf</t>
    </r>
  </si>
  <si>
    <t>National Standard of the P.R.C., Hazardous properties inspection code for dangerous goods of flammable gases</t>
  </si>
  <si>
    <t>This document specifies the terms and definitions, requirements, test and inspection rules for dangerous goods of flammable gases._x000D_
This document applies to the inspection of the hazardous characteristics of dangerous goods of flammable gases.</t>
  </si>
  <si>
    <t>Dangerous goods of flammable gases (HS code(s): 360610); (ICS code(s): 13.300)</t>
  </si>
  <si>
    <t>360610 - Liquid or liquefied-gas fuels in containers of a kind used for filling or refilling cigarette or similar lighters, with a capacity of &lt;= 300 cm³</t>
  </si>
  <si>
    <r>
      <rPr>
        <sz val="11"/>
        <rFont val="Calibri"/>
      </rPr>
      <t>https://members.wto.org/crnattachments/2026/TBT/CHN/26_01472_00_x.pdf</t>
    </r>
  </si>
  <si>
    <t>This regulation governs the certification of biomethane producers and importers for the purpose of issuing the Biomethane Origin Guarantee Certificate (CGOB), the procedures for generating the necessary documentation for the initial issuance of CGOB, the accreditation of origin certification agents, and other related matters.</t>
  </si>
  <si>
    <t>27111 - - Liquefied:</t>
  </si>
  <si>
    <t>75.060 - Natural gas</t>
  </si>
  <si>
    <t>National Standard of the P.R.C., Intelligent and connected vehicle — Safety requirements for automated driving system</t>
  </si>
  <si>
    <t>This document specifies the technical requirements, maintenance requirements and conformity of type assessment for the ADS of intelligent and connected vehicles, and describes the corresponding methods including assessment of maintenance requirements, assessment of safety case and conformity tests._x000D_
This document applies to M and N category vehicles equipped with Level 3 (L3) and/or Level 4 (L4) automated driving systems (excluding automated parking systems).</t>
  </si>
  <si>
    <t>M and N category vehicles equipped with Level 3 and/or Level 4 automated driving systems (excluding automated parking systems) (HS code(s): 8703; 8704); (ICS code(s): 43.020)</t>
  </si>
  <si>
    <t>8703 - Motor cars and other motor vehicles principally designed for the transport of &lt;10 persons, incl. station wagons and racing cars (excl. motor vehicles of heading 8702); 8704 - Motor vehicles for the transport of goods, incl. chassis with engine and cab</t>
  </si>
  <si>
    <t>43.020 - Road vehicles in general</t>
  </si>
  <si>
    <r>
      <rPr>
        <sz val="11"/>
        <rFont val="Calibri"/>
      </rPr>
      <t>https://members.wto.org/crnattachments/2026/TBT/CHN/26_01492_00_x.pdf</t>
    </r>
  </si>
  <si>
    <t>National Standard of the P.R.C., Hazardous properties inspection code for dangerous goods of toxic substances</t>
  </si>
  <si>
    <t>This document specifies the terminology and definitions, requirements, test and inspection rules for toxic hazardous goods._x000D_
This document applies to the inspection of hazardous properties and applicable packaging categories for toxic hazardous goods.</t>
  </si>
  <si>
    <t>Dangerous goods of toxic substances (HS code(s): 330290; 3814; 382212); (ICS code(s): 13.300)</t>
  </si>
  <si>
    <t>3814 - Organic composite solvents and thinners, not elsewhere specified or included; prepared paint or varnish removers.; 330290 - Mixtures of odoriferous substances and mixtures, incl. alcoholic solutions, based on one or more of these substances, of a kind used as raw materials in industry (excl. food or drink industries); 382212 - Diagnostic or laboratory reagents on a backing, prepared diagnostic or laboratory reagents whether or not on a backing, whether or not put up in the form of kits, for Zika and other diseases transmitted by mosquitoes of the genus Aedes (excl.those of heading 3006)</t>
  </si>
  <si>
    <r>
      <rPr>
        <sz val="11"/>
        <rFont val="Calibri"/>
      </rPr>
      <t>https://members.wto.org/crnattachments/2026/TBT/CHN/26_01477_00_x.pdf</t>
    </r>
  </si>
  <si>
    <t>AFDC 15 (3835) DTZS, Liquid candies – Specification, First Edition</t>
  </si>
  <si>
    <t>This Tanzania Standard specifies requirements and methods of sampling and testing for liquid candies intended for human consumption.Note: This Draft Tanzania Standard was also notified under TBT Committee.</t>
  </si>
  <si>
    <r>
      <rPr>
        <sz val="11"/>
        <rFont val="Calibri"/>
      </rPr>
      <t>https://members.wto.org/crnattachments/2026/SPS/TZA/26_01426_00_e.pdf</t>
    </r>
  </si>
  <si>
    <t>The notice of the implementation of biosecurity inspection at foreign hatcheries that wish to export live shrimp (including Broodstock and Postlarvae) to Malaysia</t>
  </si>
  <si>
    <t>The Department of Fisheries Malaysia (DoF) intends to implement biosecurity inspection and verification visits at foreign hatcheries that wish to export live shrimp (including broodstock and post-larvae) to Malaysia._x000D_
 This measure is introduced to strengthen assurance of compliance with Malaysia’s aquatic animal health and biosecurity requirements, and to prevent the introduction of serious transboundary aquatic animal diseases, in alignment with the World Organisation for Animal Health (WOAH) Aquatic Animal Health Code._x000D_
 The inspection will be conducted on a risk-based and transparent basis, in consultation with the competent authority of the exporting country, and consistent with the principles of equivalence and mutual recognition under the WTO Agreement on the Application of Sanitary and Phytosanitary Measures (SPS Agreement). </t>
  </si>
  <si>
    <t>Live shrimp (including Broodstock and Postlarvae)</t>
  </si>
  <si>
    <t>Ensure aquatic animals are disease-free</t>
  </si>
  <si>
    <r>
      <rPr>
        <sz val="11"/>
        <rFont val="Calibri"/>
      </rPr>
      <t>https://members.wto.org/crnattachments/2026/SPS/MYS/26_01401_00_e.pdf</t>
    </r>
  </si>
  <si>
    <t>Burundi</t>
  </si>
  <si>
    <t>National Standard of the P.R.C., Hazardous properties inspection code of dangerous goods general specifications</t>
  </si>
  <si>
    <t>This document specifies the terms and definitions, classification, requirements, test labeling, and inspection rules for the inspection specifications of hazard properties of dangerous goods._x000D_
This document applies to the inspection conducted in accordance with the inspection specifications of hazard properties of dangerous goods.</t>
  </si>
  <si>
    <t>Dangerous goods (HS code(s): 2942; 382499); (ICS code(s): 13.300)</t>
  </si>
  <si>
    <t>2942 - Other organic compounds.; 382499 - Chemical products and preparations of the chemical or allied industries, incl. those consisting of mixtures of natural products, n.e.s.</t>
  </si>
  <si>
    <r>
      <rPr>
        <sz val="11"/>
        <rFont val="Calibri"/>
      </rPr>
      <t>https://members.wto.org/crnattachments/2026/TBT/CHN/26_01476_00_x.pdf</t>
    </r>
  </si>
  <si>
    <t>National Standard of the P.R.C., Hazardous properties inspection code for dangerous goods of pyrophoric solid</t>
  </si>
  <si>
    <t>This document specifies the terms and definitions, requirements, test and inspection rules for dangerous goods of pyrophoric solid._x000D_
This document  applies to the inspection of the hazardous characteristics and applicable package categories for dangerous goods of pyrophoric solid.</t>
  </si>
  <si>
    <t>Dangerous goods of pyrophoric solid (HS code(s): 293190); (ICS code(s): 13.300)</t>
  </si>
  <si>
    <r>
      <rPr>
        <sz val="11"/>
        <rFont val="Calibri"/>
      </rPr>
      <t>https://members.wto.org/crnattachments/2026/TBT/CHN/26_01484_00_x.pdf</t>
    </r>
  </si>
  <si>
    <t>National Standard of the P.R.C., Safety of lithium ion cells and batteries used in electronic and electrical equipment — Part 5: household electric appliances</t>
  </si>
  <si>
    <t>This document specifies the safety requirements for lithium ion cells and batteries used in household electric appliances._x000D_
This document applies to lithium ion cells and batteries used in household electric appliances.</t>
  </si>
  <si>
    <t>Cells and batteries used in household electric appliances (HS code(s): 850650; 850760); (ICS code(s): 29.220.99)</t>
  </si>
  <si>
    <r>
      <rPr>
        <sz val="11"/>
        <rFont val="Calibri"/>
      </rPr>
      <t>https://members.wto.org/crnattachments/2026/TBT/CHN/26_01468_00_x.pdf</t>
    </r>
  </si>
  <si>
    <t>Normative equivalence has been granted between the standard CAN/CSA-C358-03, "Energy consumption test methods for household electric ranges", as applied to the list of products contained in Annex A of report EQ 046-2025, and Executive Decree No. 43524 Costa Rican Technical Regulation (RTCR) No. 503:2021. Electrical products. Cookers, hobs, cooktops, induction hobs and 1 This information can be provided by including a website address, a PDF attachment, or other information on where the text of the final/modified measure and/or interpretative guidance can be obtained.G/TBT/N/CRI/193/Add.19- 2 -electric ovens for domestic use. Energy efficiency requirements (INTE E17‐1:2024, "Energy efficiency. Electric cookers, hobs and electric ovens for domestic use. Part 2: Labelling", INTE E17-2:2024, "Energy efficiency. Household refrigerators and freezers. Part 2: Labelling", INTE E17-3:2024, "Energy efficiency. Electric cookers, hobs and electric ovens for domestic use. Part 3: Test method"), pursuant to Executive Decrees No. 37662-MEIC-H-MICIT "Procedure for demonstrating conformity with technical regulations" and No. 44395-MEIC "Procedure for demonstrating equivalence with a Costa Rican or Central American Technical Regulation" and the provisions of the first recital of the notified resolution.__________</t>
  </si>
  <si>
    <r>
      <rPr>
        <sz val="11"/>
        <rFont val="Calibri"/>
      </rPr>
      <t>https://members.wto.org/crnattachments/2026/TBT/CRI/final_measure/26_01455_00_s.pdf
http://reglatec.go.cr/reglatec/principal.jsp</t>
    </r>
  </si>
  <si>
    <t>Notice of Availability of a Pest Risk Analysis for the Importation of Globe Artichoke From Sardinia, Italy Into the United States [Docket No. APHIS–2024–0006]</t>
  </si>
  <si>
    <t>We are advising the public that we have prepared a pest risk analysis that evaluates the risks associated with the importation of fresh, immature flower buds of globe artichoke (Cynara cardunculus, also known as spiny artichoke) from Sardinia, Italy into the United States. Based on the analysis, we have determined that the application of one or more designated phytosanitary measures will be sufficient to mitigate the risks of introducing or disseminating plant pests or noxious weeds via the importation of globe artichoke from Sardinia, Italy into the United States. We are making the pest risk analysis available to the public for review and comment. (Federal Register Vol. 91, No. 41; Tuesday, 3 March 2026; pg. 10365)</t>
  </si>
  <si>
    <t>Fresh, immature flower buds of globe artichoke (Cynara cardunculus</t>
  </si>
  <si>
    <t>Plant health; Plant diseases; Pest- or Disease- free Regions / Regionalization</t>
  </si>
  <si>
    <t>Italy</t>
  </si>
  <si>
    <r>
      <rPr>
        <sz val="11"/>
        <rFont val="Calibri"/>
      </rPr>
      <t>https://www.regulations.gov/document/APHIS-2024-0006-0001</t>
    </r>
  </si>
  <si>
    <t>National Standard of the P.R.C., Safety requirements for simple lifts</t>
  </si>
  <si>
    <t>This document specifies the general requirements for simple lifts with a rated lifting capacity greater than or equal to 500 kg, as well as requirements for buildings and structures, metal structures, main components, electrical systems, safety protection devices, nameplates and markings, operation, inspection and maintenance, and repair, together with the corresponding verification methods.</t>
  </si>
  <si>
    <t>Simple lifts (HS code(s): 8428); (ICS code(s): 53.020.99)</t>
  </si>
  <si>
    <t>8428 - Lifting, handling, loading or unloading machinery, e.g. lifts, escalators, conveyors, teleferics (excl. pulley tackle and hoists, winches and capstans, jacks, cranes of all kinds, mobile lifting frames and straddle carriers, works trucks fitted with a crane, fork-lift trucks and other works trucks fitted with lifting or handling equipment)</t>
  </si>
  <si>
    <t>53.020.99 - Other lifting equipment</t>
  </si>
  <si>
    <r>
      <rPr>
        <sz val="11"/>
        <rFont val="Calibri"/>
      </rPr>
      <t>https://members.wto.org/crnattachments/2026/TBT/CHN/26_01487_00_x.pdf</t>
    </r>
  </si>
  <si>
    <t>National Standard of the P.R.C., Performance requirements and testing methods for brake assist systems (BAS) of light-duty vehicles</t>
  </si>
  <si>
    <t>This document specifies the general requirements, performance requirements, and test requirements for the Brake Assist System (BAS)  of light-duty vehicles, along with the corresponding test methods._x000D_
This document applies to vehicles of categories M1 and N1 as specified in GB/T 15089.</t>
  </si>
  <si>
    <t>Brake assist systems (BAS) (HS code(s): 870830); (ICS code(s): 43.020)</t>
  </si>
  <si>
    <t>870830 - Brakes and servo-brakes and their parts, for tractors, motor vehicles for the transport of ten or more persons, motor cars and other motor vehicles principally designed for the transport of persons, motor vehicles for the transport of goods and special purpose motor vehicles, n.e.s.</t>
  </si>
  <si>
    <r>
      <rPr>
        <sz val="11"/>
        <rFont val="Calibri"/>
      </rPr>
      <t>https://members.wto.org/crnattachments/2026/TBT/CHN/26_01488_00_x.pdf
https://members.wto.org/crnattachments/2026/TBT/CHN/26_01488_01_x.pdf</t>
    </r>
  </si>
  <si>
    <t>GB/T 15089-2001 Classification of power-driven vehicles and  trailers</t>
  </si>
  <si>
    <t>National Standard of the P.R.C., Hazardous properties inspection code for dangerous goods of nitrates</t>
  </si>
  <si>
    <t>This document specifies the terms and definitions, requirements, tests, marking and labelling, and inspection rules for solid inorganic nitrate dangerous goods._x000D_
This document applies to the inspection of solid inorganic nitrate dangerous goods (excluding ammonium nitrate).</t>
  </si>
  <si>
    <t>Dangerous goods of nitrates (HS code(s): 283429); (ICS code(s): 13.300)</t>
  </si>
  <si>
    <t>283429 - Nitrates (excl. of potassium and of mercury)</t>
  </si>
  <si>
    <r>
      <rPr>
        <sz val="11"/>
        <rFont val="Calibri"/>
      </rPr>
      <t>https://members.wto.org/crnattachments/2026/TBT/CHN/26_01485_00_x.pdf</t>
    </r>
  </si>
  <si>
    <t>Ordinance No. 459, 9 August 2025</t>
  </si>
  <si>
    <t xml:space="preserve">Rectification of article 11 of Inmetro Ordinance No. 459, 19 August 2025, published in the Official Gazette of the Union on August 20, 2025, page 19, section 1._x000D_
https://www.in.gov.br/en/web/dou/-/retificacao-692748541_x000D_
</t>
  </si>
  <si>
    <t>FOOTWEAR, GAITERS AND THE LIKE; PARTS OF SUCH ARTICLES (HS code(s): 64); Footwear (ICS code(s): 61.060)</t>
  </si>
  <si>
    <t>64 - FOOTWEAR, GAITERS AND THE LIKE; PARTS OF SUCH ARTICLES; 64 - FOOTWEAR, GAITERS AND THE LIKE; PARTS OF SUCH ARTICLES; 64 - FOOTWEAR, GAITERS AND THE LIKE; PARTS OF SUCH ARTICLES</t>
  </si>
  <si>
    <t>61.060 - Footwear; 61.060 - Footwear; 61.060 - Footwear</t>
  </si>
  <si>
    <t>Consumer information, labelling (TBT); Prevention of deceptive practices and consumer protection (TBT); Quality requirements (TBT)</t>
  </si>
  <si>
    <t>Provide the consumer with the appropriate information about different shoes, as well as the introduction of traceability codes, to inhibit counterfeits and unfair trade practices</t>
  </si>
  <si>
    <t>Labelling; Labelling; Labelling</t>
  </si>
  <si>
    <r>
      <rPr>
        <sz val="11"/>
        <rFont val="Calibri"/>
      </rPr>
      <t>https://members.wto.org/crnattachments/2026/TBT/BRA/26_01495_00_x.pdf</t>
    </r>
  </si>
  <si>
    <t>National Standard of the P.R.C., Hazardous properties inspection code for dangerous goods of flammable solids</t>
  </si>
  <si>
    <t>This document specifies the terms and definitions, requirements, test and inspection rules for dangerous goods of flammable solids._x000D_
This document applies to the inspection of the hazardous characteristics of dangerous goods of flammable solids.</t>
  </si>
  <si>
    <t>Dangerous goods of flammable solids (HS code(s): 360690); (ICS code(s): 13.300)</t>
  </si>
  <si>
    <r>
      <rPr>
        <sz val="11"/>
        <rFont val="Calibri"/>
      </rPr>
      <t>https://members.wto.org/crnattachments/2026/TBT/CHN/26_01473_00_x.pdf</t>
    </r>
  </si>
  <si>
    <t>National Standard of the P.R.C., Hazardous properties inspection code for dangerous goods of compressed gases</t>
  </si>
  <si>
    <t>This document specifies the terminology and definitions, requirements, test and inspection rules for dangerous goods of compressed gases ._x000D_
This document applies to the inspection of hazardous characteristics of all gas dangerous goods with a critical temperature of less than or equal to -50 ℃.</t>
  </si>
  <si>
    <t>Dangerous goods of compressed gases (HS code(s): 271111; 280429); (ICS code(s): 13.300)</t>
  </si>
  <si>
    <t>280429 - Rare gases (excl. argon); 271111 - Natural gas, liquefied</t>
  </si>
  <si>
    <r>
      <rPr>
        <sz val="11"/>
        <rFont val="Calibri"/>
      </rPr>
      <t>https://members.wto.org/crnattachments/2026/TBT/CHN/26_01475_00_x.pdf</t>
    </r>
  </si>
  <si>
    <t>National Standard of the P.R.C., Hazardous properties inspection code for dangerous goods of gas mixture</t>
  </si>
  <si>
    <t>This document specifies the terms and definitions, requirements, test and inspection rules for hazardous goods consisting of gas mixtures._x000D_
This document applies to the inspection of hazardous properties for dangerous goods of gas mixtures.</t>
  </si>
  <si>
    <t>Dangerous goods of gas mixture (HS code(s): 271111; 280429); (ICS code(s): 13.300)</t>
  </si>
  <si>
    <r>
      <rPr>
        <sz val="11"/>
        <rFont val="Calibri"/>
      </rPr>
      <t>https://members.wto.org/crnattachments/2026/TBT/CHN/26_01482_00_x.pdf</t>
    </r>
  </si>
  <si>
    <t>National Standard of the P.R.C., Symbols for controls, indicators and tell-tales of motor vehicles</t>
  </si>
  <si>
    <t>This document specifies the symbols and location for controls, indicators and tell-tales, as well as the basic requirements for the display color of lighting tell-tales._x000D_
This document applies to M and N category vehicles.</t>
  </si>
  <si>
    <t>Symbols for controls, indicators and tell-tales of motor vehicles (HS code(s): 851220); (ICS code(s): 43.020)</t>
  </si>
  <si>
    <t>851220 - Electrical lighting or visual signalling equipment for motor vehicles (excl. lamps of heading 8539)</t>
  </si>
  <si>
    <r>
      <rPr>
        <sz val="11"/>
        <rFont val="Calibri"/>
      </rPr>
      <t>https://members.wto.org/crnattachments/2026/TBT/CHN/26_01491_00_x.pdf</t>
    </r>
  </si>
  <si>
    <t> AFDC (4298) DTZS, Goat carcasses and meat cuts — Specification, First Edition</t>
  </si>
  <si>
    <t>This Tanzania Standard specifies the requirements, sampling and test methods for goat carcasses and meat cuts intended for human consumption.Note: This Draft Tanzania Standard was also notified under TBT Committee.</t>
  </si>
  <si>
    <r>
      <rPr>
        <sz val="11"/>
        <rFont val="Calibri"/>
      </rPr>
      <t>https://members.wto.org/crnattachments/2026/SPS/TZA/26_01422_00_e.pdf</t>
    </r>
  </si>
  <si>
    <t>AFDC 31 (3447) DTZS, Frozen semen from breeding bull — Specifications, First Edition</t>
  </si>
  <si>
    <t>This Tanzania standard specifies technical, biological and veterinary requirements applicable to frozen semen from breeding bulls. It also provides guidelines for transportation of semen._x000D_
This standard excludes frozen semen from other domesticated animals.Note: This Draft Tanzania Standard was also notified under TBT Committee.</t>
  </si>
  <si>
    <t>Bovine semen (HS code(s): 051110); Animal husbandry and breeding (ICS code(s): 65.020.30)</t>
  </si>
  <si>
    <t>051110 - Bovine semen</t>
  </si>
  <si>
    <t>65.020.30 - Animal husbandry and breeding</t>
  </si>
  <si>
    <r>
      <rPr>
        <sz val="11"/>
        <rFont val="Calibri"/>
      </rPr>
      <t>https://members.wto.org/crnattachments/2026/SPS/TZA/26_01418_00_e.pdf</t>
    </r>
  </si>
  <si>
    <t>National Standard of the P.R.C., Safety of lithium ion cells and batteries used in electronic and electrical equipment — Part 1: General requirements</t>
  </si>
  <si>
    <t>This document specifies the general safety requirements and test methods for lithium ion cells and batteries used in electronic and electrical equipment._x000D_
This document applies to lithium ion cells and batteries used in electronic and electrical equipment.</t>
  </si>
  <si>
    <t>Lithium ion cells and batteries used in electronic and electrical equipment (HS code(s): 850650; 850760); (ICS code(s): 29.220.99)</t>
  </si>
  <si>
    <r>
      <rPr>
        <sz val="11"/>
        <rFont val="Calibri"/>
      </rPr>
      <t>https://members.wto.org/crnattachments/2026/TBT/CHN/26_01466_00_x.pdf</t>
    </r>
  </si>
  <si>
    <t>National Standard of the P.R.C., Structure requirements of low floor public bus and low entry public bus</t>
  </si>
  <si>
    <t>This document specifies the structural requirements for low-floor and low-entry public buses. _x000D_
This document applies to low-floor (single-deck, double-deck, articulated) public buses and low-entry (single-deck, double-deck, articulated) upublic buses among Class A and Class Ⅰ buses in M2 and M3 categories.</t>
  </si>
  <si>
    <t>Buses (HS code(s): 870290); (ICS code(s): 43.080.20)</t>
  </si>
  <si>
    <t>870290 - Motor vehicles for the transport of &gt;= 10 persons, incl. driver (excl. with diesel engine or electric motor for propulsion)</t>
  </si>
  <si>
    <t>43.080.20 - Buses</t>
  </si>
  <si>
    <r>
      <rPr>
        <sz val="11"/>
        <rFont val="Calibri"/>
      </rPr>
      <t>https://members.wto.org/crnattachments/2026/TBT/CHN/26_01489_00_x.pdf</t>
    </r>
  </si>
  <si>
    <t>Update of the import protocol for live fish into Malaysia (Revision to G/SPS/N/MYS/20)</t>
  </si>
  <si>
    <t>The Department of Fisheries Malaysia, according to Section 40 on Control of Live Fish, Fisheries Act 1985 (Act 317), has reviewed the notification of G/SPS/N/MYS/20* (6 July 2009).This amendment accounts for the reclassification and consolidation of species within their respective commodity groups. Furthermore, it incorporates requirements for disease analysis, biosecurity risks, and the specific purpose of exportation to Malaysia. The purpose of this notification is to inform all countries on the updated protocol for the importation of:Live Fish for Human Consumption;Live Fish Broodstock;Live Freshwater Fish Fry;Live Marine Fish Fry;Live Crustaceans Broodstock;Live Crustaceans Fry;Live Mollusca;Live Invertebrates;Live Aquatic Plant.The risk assessment and quarantine requirements for imported live aquatic animals are as follows:Live Fish for Human Consumption (i): The quarantine requirement is determined by the end-use of the consignment. Shipments designated for direct delivery to restaurants for immediate preparation are exempted from quarantine;Other Commodities (ii-ix): The importation risk and mandatory quarantine period are based on a comprehensive assessment that considers the susceptibility of the species, diseases listed as notifiable by the World Organisation for Animal Health (WOAH), and other critical biosecurity risks.The main content of the protocol is as follows:Import Conditions Prior to Arrival in Malaysia;Animal Health Certification Requirements for the Import of Live Fish into Malaysia;Import Conditions on Arrival in Malaysian Territory.This import protocol mandates that all importers adhere to the stipulated conditions prior to consignment arrival, meet all health certification standards, and comply with all procedures upon arrival in Malaysia, as outlined in Annex I.* Notes: According to Fisheries Act 1985, “Fish” means any aquatic animal or plant life, sedentary or not, and includes all species of finfish, crustacea, mollusca, aquatic mammals, or their eggs or spawn, fry, fingerling, spat or young, but does not include any species of otters, turtles or their eggs.</t>
  </si>
  <si>
    <t>Import condition oflivefish (excluding ornamental fish)</t>
  </si>
  <si>
    <r>
      <rPr>
        <sz val="11"/>
        <rFont val="Calibri"/>
      </rPr>
      <t>https://members.wto.org/crnattachments/2026/SPS/MYS/26_01400_00_e.pdf
https://members.wto.org/crnattachments/2026/SPS/MYS/26_01400_01_e.pdf
https://members.wto.org/crnattachments/2026/SPS/MYS/26_01400_02_e.pdf
https://members.wto.org/crnattachments/2026/SPS/MYS/26_01400_03_e.pdf
https://members.wto.org/crnattachments/2026/SPS/MYS/26_01400_04_e.pdf
https://members.wto.org/crnattachments/2026/SPS/MYS/26_01400_05_e.pdf
https://members.wto.org/crnattachments/2026/SPS/MYS/26_01400_06_e.pdf
https://members.wto.org/crnattachments/2026/SPS/MYS/26_01400_07_e.pdf
https://members.wto.org/crnattachments/2026/SPS/MYS/26_01400_08_e.pdf</t>
    </r>
  </si>
  <si>
    <t>Recommendation for Food Manufacturing </t>
  </si>
  <si>
    <t>This notification is to inform WTO Members that, pursuant to Directive (1/2026) and in accordance with the implementation of the e-submission system under the Department of Food and Drug Administration of the Ministry of Health, food business operators are required to display the Food Product Code on the labels of all pre-packaged food products (HS Code 15–22). The Food Product Code shall be obtained through the online Food Product Notification system and may be presented on the product label by direct printing, sticker application, or QR code. This measure is introduced to enhance consumer verification, strengthen traceability and risk-based control, and facilitate market access and international trade. Non-compliance after the prescribed grace period of one year and six months will be subject to action in accordance with Section 31 of the National Food Law.</t>
  </si>
  <si>
    <t>15 - ANIMAL, VEGETABLE OR MICROBIAL FATS AND OILS AND THEIR CLEAVAGE PRODUCTS; PREPARED EDIBLE FATS; ANIMAL OR VEGETABLE WAXES; 16 - PREPARATIONS OF MEAT, OF FISH, OF CRUSTACEANS, MOLLUSCS OR OTHER AQUATIC INVERTEBRATES, OR OF INSECTS; 17 - SUGARS AND SUGAR CONFECTIONERY; 18 - COCOA AND COCOA PREPARATIONS; 19 - PREPARATIONS OF CEREALS, FLOUR, STARCH OR MILK; PASTRYCOOKS' PRODUCTS; 20 - PREPARATIONS OF VEGETABLES, FRUIT, NUTS OR OTHER PARTS OF PLANTS; 21 - MISCELLANEOUS EDIBLE PREPARATIONS; 22 - BEVERAGES, SPIRITS AND VINEGAR</t>
  </si>
  <si>
    <t>67.230 - Prepackaged and prepared foods</t>
  </si>
  <si>
    <t>Labelling</t>
  </si>
  <si>
    <r>
      <rPr>
        <sz val="11"/>
        <rFont val="Calibri"/>
      </rPr>
      <t>https://members.wto.org/crnattachments/2026/TBT/MMR/26_01457_00_x.pdf</t>
    </r>
  </si>
  <si>
    <t>National Standard of the P.R.C., Hazardous properties inspection code for dangerous good of substances which in contact with water emit flammable gases</t>
  </si>
  <si>
    <t>This document specifies the terms and definitions, requirements, test and inspection rules for dangerous good of substances which in contact with water emit flammable gases._x000D_
This document applies to the classification determination of transport packages for substances that release gases upon contact with water._x000D_
This document is not applicable to pyrophoric substances.</t>
  </si>
  <si>
    <t>Substances which in contact with water emit flammable gases (HS code(s): 293190); (ICS code(s): 13.300)</t>
  </si>
  <si>
    <r>
      <rPr>
        <sz val="11"/>
        <rFont val="Calibri"/>
      </rPr>
      <t>https://members.wto.org/crnattachments/2026/TBT/CHN/26_01483_00_x.pdf</t>
    </r>
  </si>
  <si>
    <t>National Standard of the P.R.C., Performance and installation requirements of rear-views mirrors for motorcycles and mopeds</t>
  </si>
  <si>
    <t>This document specifies the performance requirements, test methods and relevant requirements for the installation of rear-view mirrors on motorcycles and mopeds._x000D_
This document applies to rear-view mirrors for motorcycles and mopeds, but not apply to rear-view for motorcycles with partially or fully enclosed driver's compartments.</t>
  </si>
  <si>
    <t>Rear-views mirrors for motorcycles (HS code(s): 700910); (ICS code(s): 43.140)</t>
  </si>
  <si>
    <t>700910 - Rear-view mirrors, whether or not framed, for vehicles</t>
  </si>
  <si>
    <t>43.140 - Motorcycles and mopeds</t>
  </si>
  <si>
    <r>
      <rPr>
        <sz val="11"/>
        <rFont val="Calibri"/>
      </rPr>
      <t>https://members.wto.org/crnattachments/2026/TBT/CHN/26_01490_00_x.pdf</t>
    </r>
  </si>
  <si>
    <t>DEAS 1327: 2026, Harvesting, handling, processing and storage of Gum Arabic — Code of practice, First edition </t>
  </si>
  <si>
    <t>This draft Code of practice recommends appropriate hygienic practices for harvesting, processing, handling, packaging, storage, transport, distribution of Gum Arabic from Acacia senegal (L) Wild, Acacia seyal (L) Wild, or of related species of Acacia (Family. Leguminosae) raw material collection at the farm level to the final product intended for food application._x000D_
This Code guarantees a safe, hygienic and wholesome product. These hygienic practices are particularly important, because hygiene control measures apply to Gum Arabic of different species from the farm to industry. It establishes practices to ensure product safety, quality traceability and compliance with relevant standards across the entire value chainNote: This Draft Tanzania Standard was also notified under SPS committee.</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</si>
  <si>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</si>
  <si>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r>
      <rPr>
        <sz val="11"/>
        <rFont val="Calibri"/>
      </rPr>
      <t>https://members.wto.org/crnattachments/2026/TBT/TZA/26_01438_00_e.pdf</t>
    </r>
  </si>
  <si>
    <t>EAS 12, Potable water — SpecificationEAS 38, Labelling of pre-packaged foods — General requirementsEAS 39, Hygiene in the food and drink manufacturing industry — Code of practice</t>
  </si>
  <si>
    <t>AFDC 31 (3448) DTZS, Day-old chicks — Specifications, First Edition</t>
  </si>
  <si>
    <t>This Tanzania standard specifies requirements, sampling and test methods for day-old chicks intended for use as layers and broilers. It excludes day-old chicks from other domesticated poultry.Note: This Draft Tanzania Standard was also notified under TBT Committee.</t>
  </si>
  <si>
    <t>Live animals (excl. horses, asses, mules, hinnies, bovine animals, swine, sheep, goats, poultry, fish, crustaceans, molluscs and other aquatic invertebrates, and microorganic cultures etc.) (HS code(s): 0106); Animal husbandry and breeding (ICS code(s): 65.020.30)</t>
  </si>
  <si>
    <t>0106 - Live animals (excl. horses, asses, mules, hinnies, bovine animals, swine, sheep, goats, poultry, fish, crustaceans, molluscs and other aquatic invertebrates, and microorganic cultures etc.)</t>
  </si>
  <si>
    <r>
      <rPr>
        <sz val="11"/>
        <rFont val="Calibri"/>
      </rPr>
      <t>https://members.wto.org/crnattachments/2026/SPS/TZA/26_01417_00_e.pdf</t>
    </r>
  </si>
  <si>
    <t>AFDC 14 (4313) DTZS, Whey milk drink — Specification, First edition </t>
  </si>
  <si>
    <t>This Tanzania standard specifies requirements, sampling and test methods for whey milk drink intended for direct human consumption.Note: This Draft Tanzania Standard was also notified under SPS committee.</t>
  </si>
  <si>
    <t>- Other: (HS code(s): 04029); Milk and processed milk products (ICS code(s): 67.100.10)</t>
  </si>
  <si>
    <r>
      <rPr>
        <sz val="11"/>
        <rFont val="Calibri"/>
      </rPr>
      <t>https://members.wto.org/crnattachments/2026/TBT/TZA/26_01437_00_e.pdf</t>
    </r>
  </si>
  <si>
    <t>TZS 4, Rounding off numerical valuesTZS 109, Food processing units – code of hygieneTZS 112, Milk – Production, processing, transportation and distribution – Code of hygieneTZS 122, Microbiology of food and animal feeding stuffs – Horizontal method for the detection of Salmonella sppTZS 124, Milk and milk products – sampling for microbiological examinationTZS 125, Microbiology of food and animal feeding stuffs – Horizontal method for the enumeration of coagulase-positive staphylococci (Staphylococcus aureus and other species) – Part 1: Technique using Baird-parker agar medium – Amendment 1: Inclusion of precision dataTZS 268, General atomic absorption spectrophotometric method for determination of lead in food stuffsTZS 450, Cheese methods of sampling and testTZS 538, Packaging and labeling of foodsTZS 635, Milk and milk products — Guidance on sampling and methods of testTZS 730–2, Microbiology of food and animal feeding stuffs – horizontal method for the enumeration of -b- glucuronidase-positive Escheria coli – part 2 – colony-count technique at 44 0c using 5-bromo-4-TZS 799, Food stuffs – Determination of aflatoxin B1 and the total contentTZS 852-2, Microbiology of food and animal feeding stuffs – Horizontal method for detection and enumeration of Listeria monocytogenes - Enumeration methodTZS 2426-1, Microbiology of food and animal feeding stuffs - Horizontal method for the enumeration of yeasts and moulds - Part 1: Colony count technique in products with water activity greater than 0.95TZS 3704, Milk-based edible ices and ice mixes — Determination of fat content — Gravimetric method (Reference method)TZS 1384, Milk determination of nitrogen content by Kjeldahl methodTZS 1390-1, Milk products and milk-based foods –Determination of fat content by the Weibull-Berntrop gravimetric method Part 1: Infants foodsCODEX STAN 192, General standard for food additives193, Codex General Standard for Contaminants and Toxins in Food and FeedISO 3594, Milk fat — Detection of vegetable fat by gas-liquid chromatography of sterols (Reference method)</t>
  </si>
  <si>
    <t>AFDC (4298) DTZS , Goat carcasses and meat cuts — Specification, First edition </t>
  </si>
  <si>
    <t>This Tanzania Standard specifies the requirements, sampling and test methods for goat carcasses and meat cuts intended for human consumptionNote: This Draft Tanzania Standard was also notified under SPS committee.</t>
  </si>
  <si>
    <t>MEAT AND EDIBLE MEAT OFFAL (HS code(s): 02); Meat and meat products (ICS code(s): 67.120.10)</t>
  </si>
  <si>
    <r>
      <rPr>
        <sz val="11"/>
        <rFont val="Calibri"/>
      </rPr>
      <t>https://members.wto.org/crnattachments/2026/TBT/TZA/26_01431_00_e.pdf</t>
    </r>
  </si>
  <si>
    <t>CXM 2 Maximum residue limitsTZS 4 Rounding off numerical valuesTZS 76 General method for determination of Arsenic silver — Diethyldithiocarmate photometric methodTZS 109 Food processing units — Code of hygieneTZS 110 Ante mortem and post mortem inspection of slaughter animals, fresh meat and processed meat products — Code of hygieneTZS 118/ISO 4833 Microbiology of food and animal feeding stuffs — Horizontal method for the enumeration of microorganisms — Colony-count technique at 30 °C.TZS 121, Microbiological examination for Clostridium botulinum and Clostridium botulinum toxins — Test methodTZS 122 Microbiology of food and feeding staffs — Horizontal method for detection of Salmonella spp.TZS 125-1 /ISO 6888-1, Microbiology of food and animal feeding stuffs — Horizontal method for the enumeration of coagulase-positive staphylococci (Staphylococcus aureus and other species) – Part 1: Technique using Baird-Parker agar medium — Amendment 1: Inclusion of precision dataTZS 125-2 /ISO 6888-2 Microbiology of food and animal feeding stuffs — Horizontal method for the enumeration of coagulase-positive staphylococci (Staphylococcus aureus and other species) — Part 2: Technique using Rabbit Plasma Fibrinogen agar mediumTZS 129 Meat and meat products — Microbiological examination — SamplingTZS 131 /ISO 7954 Microbiology of food and animal feeding stuff—General guidance for enumeration of yeasts and moulds — Colony count technique at 25 °CTZS 183 Fresh meat in retail — Code of hygieneTZS 268 General atomic absorption spectrophotometric method for determination of Lead in food and food stuffsTZS 538 Labelling of pre-packaged foods — General requirementsTZS 731/ISO 7251 Microbiology of food and feeding-stuffs — Horizontal method for the detection and enumeration of presumptive Escherichia coli — Most Probable Number TechniqueTZS 949-1/ISO 21528-1 Microbiology of food and animal feeding stuffs — Horizontal methods for the detection and enumeration of Enterobacteriaceae — Part 1: Detection and enumeration by MPN technique with pre-enrichmentTZS 949-2/ISO 21528-2 Microbiology of food and animal feeding stuffs — Horizontal methods for the detection and enumeration of Enterobacteriaceae — Part 2: Colony count methodCXM 2 Maximum residue limitsTZS 4 Rounding off numerical valuesTZS 76 General method for determination of Arsenic silver — Diethyldithiocarmate photometric methodTZS 109 Food processing units — Code of hygieneTZS 110 Ante mortem and post mortem inspection of slaughter animals, fresh meat and processed meat products — Code of hygieneTZS 118/ISO 4833 Microbiology of food and animal feeding stuffs — Horizontal method for the enumeration of microorganisms — Colony-count technique at 30 °C.TZS 121, Microbiological examination for Clostridium botulinum and Clostridium botulinum toxins — Test methodTZS 122 Microbiology of food and feeding staffs — Horizontal method for detection of Salmonella spp.TZS 125-1 /ISO 6888-1, Microbiology of food and animal feeding stuffs — Horizontal method for the enumeration of coagulase-positive staphylococci (Staphylococcus aureus and other species) – Part 1: Technique using Baird-Parker agar medium — Amendment 1: Inclusion of precision dataTZS 125-2 /ISO 6888-2 Microbiology of food and animal feeding stuffs — Horizontal method for the enumeration of coagulase-positive staphylococci (Staphylococcus aureus and other species) — Part 2: Technique using Rabbit Plasma Fibrinogen agar mediumTZS 129 Meat and meat products — Microbiological examination — SamplingTZS 131 /ISO 7954 Microbiology of food and animal feeding stuff—General guidance for enumeration of yeasts and moulds — Colony count technique at 25 °CTZS 183 Fresh meat in retail — Code of hygieneTZS 268 General atomic absorption spectrophotometric method for determination of Lead in food and food stuffsTZS 538 Labelling of pre-packaged foods — General requirementsTZS 731/ISO 7251 Microbiology of food and feeding-stuffs — Horizontal method for the detection and enumeration of presumptive Escherichia coli — Most Probable Number TechniqueTZS 949-1/ISO 21528-1 Microbiology of food and animal feeding stuffs — Horizontal methods for the detection and enumeration of Enterobacteriaceae — Part 1: Detection and enumeration by MPN technique with pre-enrichmentTZS 949-2/ISO 21528-2 Microbiology of food and animal feeding stuffs — Horizontal methods for the detection and enumeration of Enterobacteriaceae — Part 2: Colony count method</t>
  </si>
  <si>
    <t>DARS 1038:2025,Karish cheese — Specification, First edition </t>
  </si>
  <si>
    <t>This Tanzania standard specifies requirements, sampling and test methods for cheeses in brine intended for direct consumption or for further processingNote: This Draft Tanzania Standard was also notified under SPS committee.</t>
  </si>
  <si>
    <r>
      <rPr>
        <sz val="11"/>
        <rFont val="Calibri"/>
      </rPr>
      <t>https://members.wto.org/crnattachments/2026/TBT/TZA/26_01436_00_e.pdf</t>
    </r>
  </si>
  <si>
    <t>TZS 4, Rounding off numerical valuesTZS 109, Food processing units —Code of hygieneTZS 112, Milk — Production, processing, transportation and distribution — Code of hygieneTZS 118, Microbiology of food and animal feeding stuffs — Horizontal method for enumeration of micro–organisms — Colony count technique at 30 ºCTZS 119, Microbiology — General guidance for the enumeration of coliforms — Most Probable Number technique (MPN)TZS 122 – Microbiology of food and animal feeding stuffs – Horizontal method for the detection of Salmonella sppTZS 124, Milk and milk products — Sampling for microbiological examinationTZS 125 – Microbiology of food and animal feeding stuffs – Horizontal method for the enumeration of coagulase-positive staphylococci (Staphylococcus aureus and other species) – Part 1: Technique using Baird-parker agar medium – Amendment 1: Inclusion of precision dataTZS 131, Microbiology — General guidance for enumeration of yeast and moulds —Colony count technique at 25 ºCTZS 268, General atomic absorption spectrophotometric method for determination of lead in food stuffsTZS 799, Food stuffs – Determination of aflatoxin B1 and the total contentTZS 450, Cheese methods of sampling and testTZS 538, Packaging and labeling of foodsTZS 852-2, Microbiology of food and animal feeding stuffs — Horizontal method for detection and enumeration of listeria monocytogenes — Enumeration methodTZS 1292, Cheese and processed cheese products — Determination of fat content —Gravimetric methodTZS 1291, Cheese and processed cheese products —Determination of total solid contentTZS 731, Microbiology of food and feeding stuffs — Horizontal method for detection and enumeration of presumptive Escherichia Coli — Most Probable Number Technique</t>
  </si>
  <si>
    <t>Notice of Request To Renew an Approved Information Collection: 
Nutrition Labeling of Major Cuts of Single-Ingredient Raw Meat or 
Poultry Products and Ground or Chopped Meat and Poultry Products&gt;</t>
  </si>
  <si>
    <t>In accordance with the Paperwork Reduction Act of 1995 and Office of Management and Budget (OMB) regulations, the Food Safety and Inspection Service (FSIS) is  announcing its intention to request renewal of the approved information collection regarding nutrition labeling of the major cuts of single-ingredient raw meat or poultry products and ground or chopped meat and poultry products. There are no changes to the existing information collection. The approval for this information collection will expire on 31 July 2026.Submit comments on or before 11 May 2026.91 Federal Register (FR) 12133, 12 March 2026:_x000D_
https://www.govinfo.gov/content/pkg/FR-2026-03-12/html/2026-04820.htmhttps://www.govinfo.gov/content/pkg/FR-2026-03-12/pdf/2026-04820.pdfThis notice; request for comments is identified by Docket Number FSIS-2025-0344. The Docket Folder is available on Regulations.gov at https://www.regulations.gov/docket/FSIS-2025-0344/document and provides access to primary and supporting documents as well as comments received. Documents are also accessible from Regulations.gov by searching the Docket Number. WTO Members and their stakeholders are asked to submit comments to the USA TBT Enquiry Point. Comments received by the USA TBT Enquiry Point from WTO Members and their stakeholders by 4pmEastern Time on 11 May 2026 will be shared with CPSC and will also be submitted to the Docket on Regulations.gov if received within the comment period.Previous actions notified under the symbol G/TBT/N/USA/510 are identified by Docket Number FSIS-2005-0018; access to primary and supporting documents as well as comments received are available via this link. Documents are also accessible from Regulations.gov by searching the Docket Number.</t>
  </si>
  <si>
    <t>Meat and poultry products, labeling (ICS: 67.120)</t>
  </si>
  <si>
    <t>67.120 - Meat, meat products and other animal produce; 67.120 - Meat, meat products and other animal produce</t>
  </si>
  <si>
    <t>Protection of consumers and human health</t>
  </si>
  <si>
    <t>Nutrition information; Labelling; Food standards; Food standards; Labelling; Nutrition information</t>
  </si>
  <si>
    <r>
      <rPr>
        <sz val="11"/>
        <rFont val="Calibri"/>
      </rPr>
      <t>https://members.wto.org/crnattachments/2026/TBT/USA/26_01413_00_e.pdf</t>
    </r>
  </si>
  <si>
    <t>DEAS 1326: 2026,Gum Arabic — Specification, First edition </t>
  </si>
  <si>
    <t>This draft East African Standard specifies requirements, sampling and test methods for food grade Gum Arabic obtained from Acacia senegal (L.) Willdenow var. senegal or Acacia seyal (family Leguminosae) also known as Acacia gum intended for human consumption.Note: This Draft Tanzania Standard was also notified under SPS committee.</t>
  </si>
  <si>
    <r>
      <rPr>
        <sz val="11"/>
        <rFont val="Calibri"/>
      </rPr>
      <t>https://members.wto.org/crnattachments/2026/TBT/TZA/26_01440_00_e.pdf</t>
    </r>
  </si>
  <si>
    <t>AOAC 923.03, Ash of Flour (Direct Method)AOAC 952.13, Arsenic in food — Silver diethyldithiocarbamate methodAOAC 972.25, Lead in Food: Atomic Absorption Spectrophotometric MethodFDEAS 1244, General Standard for the Labelling of Food Additives when sold as such RequirementsCAC/GL 50, General guidelines on samplingISO 4833-1, Microbiology of the food chain – Horizontal method for the enumeration of microorganisms – Part 1: Colony count at 30 degrees C by the pour plate techniqueISO 4833-2, Microbiology of the food chain — Horizontal method for the enumeration of microorganisms — Part 2: Colony count at 30 degrees C by the surface plating techniqueISO 5984, Animal feeding stuffs — Determination of crude ashISO 1871, Food and feed products — General guidelines for the determination of nitrogen by the Kjeldahl methodDEAS 1327, Harvesting, handling, processing and storage of Gum Arabic — Code of practiceISO 6579–1, Microbiology of the food chain — Horizontal method for the detection, enumeration and serotyping of Salmonella — Part 1: Detection of Salmonella spp.ISO/TS 6579–2, Microbiology of food and animal feed — Horizontal method for the detection, enumeration and serotyping of Salmonella — Part 2: Enumeration by a miniaturized most probable number techniqueISO 7251, Microbiology of food and animal feeding stuffs — Horizontal method for the detection and enumeration of presumptive Escherichia coli — Most probable number techniqueISO 21527-2, Microbiology of food and animal feeding stuffs — Horizontal method for the enumeration of yeasts and moulds — Part 2: Colony count technique in products with water activity less than or equal to 0.95</t>
  </si>
  <si>
    <t>Order Amending Schedule VI to the Controlled Drugs and Substances Act (Additional Fentanyl Precursors) (17 pages in English, 21 pages in French)Regulations Amending the Precursor Control Regulations (Additional Fentanyl Precursors) (2 pages in English and French)</t>
  </si>
  <si>
    <t>The purpose of this notification is to inform members that on March 11, 2026, Canada published permanent controls for phenethyl bromide, phenethyl chloride, phenethyl iodide, propionic anhydride, and benzyl chloride by adding them to Schedule VI of the Controlled Drugs and Substances Act and to the Schedule to the Precursor Control Regulations. The permanent controls come into force on April 12, 2026 (phenethyl bromide, propionic anhydride, and benzyl chloride are already temporarily controlled in Canada under a Ministerial Order). With these amendments, any person not authorized to conduct regulated activities with the five precursors will be subject to offences and penalties.</t>
  </si>
  <si>
    <t>Phenethyl bromide (HS code: 290399)Phenethyl chloride (HS code:  290399)Phenethyl iodide (HS code:  290399)Propionic anhydride (HS code: 291590)Benzyl chloride (HS code: 290399)</t>
  </si>
  <si>
    <t>290399 - Halogenated derivatives of aromatic hydrocarbons (excl. chlorobenzene, o-dichlorobenzene, p-dichlorobenzene, hexachlorobenzene [ISO], DDT [ISO] "clofenotane [INN], 1,1,1-trichloro-2,2-bis[p-chlorophenyl]ethane", pentachlorobenzene "ISO" and hexabromobiphenyls); 291590 - Saturated acyclic monocarboxylic acids, their anhydrides, halides, peroxides and peroxyacids; their halogenated, sulphonated, nitrated or nitrosated derivatives (excl. formic acid and acetic acid, mono-, di- or trichloroacetic acids, propionic acid, butanoic and pentanoic acids, palmitic and stearic acids, their salts and esters, and acetic anhydride)</t>
  </si>
  <si>
    <t>71.080 - Organic chemicals</t>
  </si>
  <si>
    <t>The objective of the permanent controls is to protect public health and safety by strictly controlling activities with five fentanyl precursors (phenethyl bromide, phenethyl chloride, phenethyl iodide, propionic anhydride, and benzyl chloride) on a longer-term basis under the Controlled Drugs and Substances Act. The controls allow law and border enforcement to take action against any illegal importation, distribution, and use of the five precursors. </t>
  </si>
  <si>
    <r>
      <rPr>
        <sz val="11"/>
        <rFont val="Calibri"/>
      </rPr>
      <t xml:space="preserve">Order
https://gazette.gc.ca/rp-pr/p2/2026/2026-03-11/html/sor-dors38-eng.html 
Regulations
https://gazette.gc.ca/rp-pr/p2/2026/2026-03-11/html/sor-dors39-eng.html  
</t>
    </r>
  </si>
  <si>
    <t>Canada Gazette : https://canadagazette.gc.ca/rp-pr/p1/2025/2025-02-14-x1/html/extra1-eng.htmlNotice of intent to control fentanyl precursor chemicals and carisoprodol under the Controlled Drugs and Substances Act,  (available in English and French)Canada Gazettehttps://canadagazette.gc.ca/rp-pr/p2/2025/2025-03-12/html/sor-dors64-eng.html, Order Amending Schedule V to the Controlled Drugs and Substances Act (Fentanyl Precursors and Carisoprodol): SOR/2025-64, (available in English and French)</t>
  </si>
  <si>
    <t>Draft COMMISSION REGULATION (EU) …/…of XXX amending Annex XVII to Regulation (EC) No 1907/2006 of the European Parliament and of the Council concerning the Registration, Evaluation, Authorisation and Restriction of Chemicals (REACH) as regards creosote and creosote-related substances</t>
  </si>
  <si>
    <t>This draft Regulation is intended to update the existing entry 31 of Annex XVII to Regulation (EC) No 1907/2006.For creosote and creosote-related substances used for the treatment of wood, the draft Commission Regulation updates the conditions for derogations aligning them with conditions of the use of the substances under the Biocidal Product Regulation (Regulation (EU) 528/2012), which are stricter than the current conditions of entry 31 with regard to packaging and labelling (see para.s 2 and 3 in Column 2 in the Annex). The draft Commission Regulation further updates the restriction for wood treated with the listed creosote and creosote-related substances. It aligns the existing restriction with relevant provisions for the substances under the Biocidal Product Regulation for wood placed on the market for the first time (see para.s 5(a), 6 and 7 in Column 2 in the Annex). It further updates the provisions of the existing restriction for the further placing of such wood on the market, to complement the provisions under the Biocidal Products Regulation, which only covers the first placing on the market of wood (see para.s 5(b), 6, 7 and 8 in Column 2 in the Annex).Derogations from the ban for creosote-treated wood relate to the placing on the market and use of treated wood for two uses, i.e. the use as railway sleepers or as utility poles for electricity or telecommunication but is limited to those EU Member States that still permit such use.</t>
  </si>
  <si>
    <t>Creosote and Creosote-related substances, when used for the treatment of wood: Creosote; wash oil; Creosote oil; wash oil; Distillates (coal tar), naphthalene oils; naphthalene oil; Creosote oil, acenaphthene fraction; wash oil; Distillates (coal tar), upper; heavy anthracene oil; Anthracene oil; Tar acids, coal, crude; crude phenols;Low temperature tar oil, alkaline; extract residues (coal), low temperature coal tar alkaline.Wood treated with the above substances</t>
  </si>
  <si>
    <t>71.100.50 - Wood-protecting chemicals; 79.020 - Wood technology processes</t>
  </si>
  <si>
    <t>Alignment of an existing REACH restriction with stricter rules under the Biocidal Product Regulation, which was already previously notified to the WTO (G/TBT/N/EU/902</t>
  </si>
  <si>
    <t>Second quarter of 2026</t>
  </si>
  <si>
    <t>20 days from publication in the Official Journal of the EU. Application of the restriction would be deferred for 12 months after entry into force.</t>
  </si>
  <si>
    <r>
      <rPr>
        <sz val="11"/>
        <rFont val="Calibri"/>
      </rPr>
      <t>https://members.wto.org/crnattachments/2026/TBT/EEC/26_01410_00_e.pdf
https://members.wto.org/crnattachments/2026/TBT/EEC/26_01410_01_e.pdf</t>
    </r>
  </si>
  <si>
    <t>Regulation (EC) No 1907/2006 of the European Parliament and of the Council on the Registration, Evaluation, Authorisation and Restriction of Chemicals (REACH Regulation): http://eur-lex.europa.eu/legal-content/EN/TXT/?qid=1423064258789&amp;uri=CELEX:32006R1907The opinions of the Committees for Risk Assessment (RAC) and Socio-economic Analysis (SEAC): https://echa.europa.eu/documents/10162/4073ba72-d5b8-ae29-c3c0-b099719ace94Further background information is available at: https://echa.europa.eu/documents/10162/663e1ad8-2320-bead-d552-79495c208b55</t>
  </si>
  <si>
    <t>TBS/CDC 3(4243) DTZS, Petroleum jelly for cosmetic industry — Specification, Third Edition</t>
  </si>
  <si>
    <t>This Draft Tanzania Standard specifies the requirements, sampling and test methods for petroleum jelly used in the cosmetic industry._x000D_
This Draft Tanzania Standard applies to petroleum jelly used in the manufacture of various types of cosmetics, such as creams, lipsticks, hair dressings, lubricating creams, rouges, foundation creams of a greasy type, and employed as an emollient for chapped skin.</t>
  </si>
  <si>
    <t>Petroleum jelly (HS code(s): 271210); Cosmetics. Toiletries (ICS code(s): 71.100.70)</t>
  </si>
  <si>
    <t>271210 - Petroleum jelly</t>
  </si>
  <si>
    <t>71.100.70 - Cosmetics. Toiletries</t>
  </si>
  <si>
    <t>Consumer information, labelling (TBT); Quality requirements (TBT); Reducing trade barriers and facilitating trade (TBT)</t>
  </si>
  <si>
    <t>To be determined and notified</t>
  </si>
  <si>
    <r>
      <rPr>
        <sz val="11"/>
        <rFont val="Calibri"/>
      </rPr>
      <t>https://members.wto.org/crnattachments/2026/TBT/TZA/26_01443_00_e.pdf</t>
    </r>
  </si>
  <si>
    <t>TZS 59, Water for analytical laboratory use — Specification and test method TZS 76, General method for determination of arsenic, silver diethyldithiocarmate photometric method TZS 314, Cosmetics and toiletries products — Methods of sampling TZS 2126/EAS 846, Glossary of terms relating to the cosmetic industry TZS 2127-16/EAS 847-16 Cosmetics — Analytical methods — Part 16: Determination of lead, mercury and arsenic content</t>
  </si>
  <si>
    <t>AFDC (4297) DTZS, Lamb and mutton carcasses and meat cuts — Specification, First edition </t>
  </si>
  <si>
    <t>This Tanzania Standard specifies the requirements, sampling and test methods for fresh, chilled and frozen lamb and mutton carcasses and meat cuts intended for human consumptionNote: This Draft Tanzania Standard was also notified under SPS committee.</t>
  </si>
  <si>
    <r>
      <rPr>
        <sz val="11"/>
        <rFont val="Calibri"/>
      </rPr>
      <t>https://members.wto.org/crnattachments/2026/TBT/TZA/26_01439_00_e.pdf</t>
    </r>
  </si>
  <si>
    <t>CXM 2 Maximum residue limitsTZS 4 Rounding off numerical valuesTZS 76 General method for determination of Arsenic silver — Diethyldithiocarmate photometric methodTZS 109 Food processing units — Code of hygieneTZS 110 Ante mortem and post mortem inspection of slaughter animals, fresh meat and processed meat products — Code of hygieneTZS 118/ISO 4833 Microbiology of food and animal feeding stuffs — Horizontal method for the enumeration of microorganisms — Colony-count technique at 30 °C.TZS 121, Microbiological examination for Clostridium botulinum and Clostridium botulinum toxins — Test methodTZS 122 Microbiology of food and feeding staffs — Horizontal method for detection of Salmonella spp.TZS 125-1 /ISO 6888-1, Microbiology of food and animal feeding stuffs — Horizontal method for the enumeration of coagulase-positive staphylococci (Staphylococcus aureus and other species) – Part 1: Technique using Baird-Parker agar medium — Amendment 1: Inclusion of precision dataTZS 125-2 /ISO 6888-2 Microbiology of food and animal feeding stuffs — Horizontal method for the enumeration of coagulase-positive staphylococci (Staphylococcus aureus and other species) — Part 2: Technique using Rabbit Plasma Fibrinogen agar mediumTZS 129 Meat and meat products — Microbiological examination — SamplingTZS 131 /ISO 7954 Microbiology of food and animal feeding stuff—General guidance for enumeration of yeasts and moulds — Colony count technique at 25 °CTZS 183 Fresh meat in retail — Code of hygieneTZS 268 General atomic absorption spectrophotometric method for determination of Lead in food and food stuffsTZS 538 Labelling of pre-packaged foods — General requirementsTZS 731/ISO 7251 Microbiology of food and feeding-stuffs — Horizontal method for the detection and enumeration of presumptive Escherichia coli — Most Probable Number TechniqueTZS 949-1/ISO 21528-1 Microbiology of food and animal feeding stuffs — Horizontal methods for the detection and enumeration of Enterobacteriaceae — Part 1: Detection and enumeration by MPN technique with pre-enrichmentTZS 949-2/ISO 21528-2 Microbiology of food and animal feeding stuffs — Horizontal methods for the detection and enumeration of Enterobacteriaceae — Part 2: Colony count method</t>
  </si>
  <si>
    <t>AFDC 31 (3447) DTZS, Frozen semen from breeding bull — Specifications, First edition </t>
  </si>
  <si>
    <t>This Tanzania standard specifies technical, biological and veterinary requirements applicable to frozen semen from breeding bulls. It also provides guidelines for transportation of semen._x000D_
This standard excludes frozen semen from other domesticated animalsNote: This Draft Tanzania Standard was also notified under SPS committee.</t>
  </si>
  <si>
    <t>Animal health</t>
  </si>
  <si>
    <r>
      <rPr>
        <sz val="11"/>
        <rFont val="Calibri"/>
      </rPr>
      <t>https://members.wto.org/crnattachments/2026/TBT/TZA/26_01430_00_e.pdf</t>
    </r>
  </si>
  <si>
    <t>TZS 4, Rounding off numerical values_x000D_
TZS 730-1, Microbiology of food and animal feeding stuffs – Horizontal method for the detection of Escherichia coli</t>
  </si>
  <si>
    <t> DTZS: 2026, Chicken meat — Specification, First edition </t>
  </si>
  <si>
    <t>This Tanzania Standard specifies the requirements, sampling and test methods for raw and spiced chicken “Gallus domesticus” meat carcasses or parts intended for human consumptionNote: This Draft Tanzania Standard was also notified under SPS committee.</t>
  </si>
  <si>
    <r>
      <rPr>
        <sz val="11"/>
        <rFont val="Calibri"/>
      </rPr>
      <t>https://members.wto.org/crnattachments/2026/TBT/TZA/26_01444_00_e.pdf</t>
    </r>
  </si>
  <si>
    <t>TZS 4, Rounding off numerical valuesTZS 109 Food processing units — Code of hygieneTZS 118/ISO 4833, Microbiology of food and animal feeding stuffs — Horizontal method for theenumeration of microorganisms — Colony-count technique at 30 oC.TZS 119/ISO 4831, Microbiology of food and animal feeding stuffs — Horizontal method for detection and enumeration of coliforms — Most probable number techniqueTZS 122 Microbiology of food and feeding stuffs — Horizontal method for detection of Salmonella sppTZS 123/ISO 7937, Microbiology of food and animal feeding stuffs — Horizontal method for the enumeration of Clostridium perfringens — Colony-count techniqueTZS 125 –1/ISO 6888-1 Microbiology of food and animal feeding stuffs — Horizontal method for the enumeration of coagulase-positive staphylococci (Staphylococcus aureus and other species) — Part 1: Technique using Baird-Parker agar medium — Amendment 1: Inclusion of precision dataTZS 125 – 2/ISO 6888-2, Microbiology of food and animal feeding stuffs — Horizontal method for the enumeration of coagulase-positive staphylococci (Staphylococcus aureus and other species) — Part 2: Technique using rabbit plasma fibrinogen agar medium.TZS 127/ISO/TS 21872-1, Microbiology of food and animal feeding stuffs — Horizontal method for detection of potentially enteropathogenic Vibrio spp. — Part 1: Detection of Vibrio parahaemolyticus and Vibrio choleraTZS 457 Code of hygienic practices for spices and dried aromatic plantsTZS 459 Code of hygiene for poultry processingTZS 538 Labelling of pre-packaged foods — General requirementsTZS 731/ISO 7251, Microbiology of food and feeding stuffs — Horizontal method for the detection and enumeration of presumptive Escherichia Coli — Most Probable Number TechniqueTZS 852-1/ISO 11290-1, Microbiology of food and animal feeding stuffs — Horizontal method for the detection and enumeration of Listeria monocytogenes — Part 1: Detection methodTZS 852-2/ISO 11290-2, Microbiology of food and animal feeding stuffs — Horizontal method for the detection and enumeration of Listeria monocytogenes — Part 2: Enumeration methodTZS 949-1/ISO 21528-1, Microbiology of food and animal feeding stuffs — Horizontal methods for the detection and enumeration of Enterobacteriaceae — Part 1: Detection and enumeration by MPN technique with pre-enrichmentTZS 949-2/ISO 21528-2, Microbiology of food and animal feeding stuffs — Horizontal methods for the detection and enumeration of Enterobacteriaceae — Part 2: Colony count methodTZS 2428/ISO 17604 Microbiology of the food chain — Carcass sampling for microbiology analysisISO 10272-1:2006, Microbiology of food and animal feeding stuffs — Horizontal method for detection and enumeration of Campylobacter spp. — Part 1: Detection methodISO 10272-2:2006, Microbiology of food and animal feeding stuffs — Horizontal method for detection and enumeration of Campylobacter spp. — Part 2: Colony-count techniqueCXS 193, Codex general standard for contaminants and toxins in food and feedTZS 129, Meat and meat products — Microbiological examination — Sampling</t>
  </si>
  <si>
    <t>Peru</t>
  </si>
  <si>
    <t>Proyecto de Resolución Directoral para el establecimiento de requisitos fitosanitarios de necesario cumplimiento en la importación de polen de Prunus spp. de origen y procedencia Chile (Draft Directorial Resolution establishing mandatory phytosanitary requirements governing the importation of Prunus spp. pollen originating in and coming from Chile)</t>
  </si>
  <si>
    <t>The draft phytosanitary requirements governing the importation into Peru of Prunus spp. pollen originating in and coming from Chile are being submitted for public consultation following the completion of the relevant pest risk analysis.</t>
  </si>
  <si>
    <t>Prunus spp. pollen (HS code: 140490)</t>
  </si>
  <si>
    <t>140490 - Vegetable products n.e.s</t>
  </si>
  <si>
    <t>Upon publication in the Official Journal, El Peruano</t>
  </si>
  <si>
    <r>
      <rPr>
        <sz val="11"/>
        <rFont val="Calibri"/>
      </rPr>
      <t>https://members.wto.org/crnattachments/2026/SPS/PER/26_01412_00_s.pdf
El texto lo puede descargar de la página web del SENASA
 cuya ruta es la siguiente: https://www.gob.pe/institucion/senasa/campa%C3%B1as/4831-consulta-publica-de-importaciones-agricolas</t>
    </r>
  </si>
  <si>
    <t>Proyecto de Resolución "Por medio de la cual se establecen los requisitos fitosanitarios para la importación a Colombia de semillas de Girasol (Helianthus annuus L.) de origen y procedencia Chile, para ensayo, uso comercial y/o siembra" (Draft Resolution establishing phytosanitary requirements for the importation into Colombia of sunflower (Helianthus annuus L.) seeds originating in and coming from Chile, for testing, commercial use and/or sowing)</t>
  </si>
  <si>
    <t>The notified measure seeks to establish phytosanitary requirements for the importation into Colombia of sunflower (Helianthus annuus L.) seeds originating in and coming from Chile, for testing, commercial use and/or sowing. The provisions will apply to all natural or legal persons who import into Colombia sunflower (Helianthus annuus L.) seeds originating in and coming from Chile, for testing, commercial use and/or sowing.</t>
  </si>
  <si>
    <t>Sunflower (Helianthus annuus L.) seeds (HS code: 1206)</t>
  </si>
  <si>
    <t>1206 - Sunflower seeds, whether or not broken.</t>
  </si>
  <si>
    <r>
      <rPr>
        <sz val="11"/>
        <rFont val="Calibri"/>
      </rPr>
      <t>https://members.wto.org/crnattachments/2026/SPS/COL/26_01414_00_s.pdf
https://www.sucop.gov.co/entidades/ica/Normativa?IDNorma=28092</t>
    </r>
  </si>
  <si>
    <t>DTZS 3955: 2026, Textile Floor Covering — artificial grass carpet made of synthetic yarn for landscape — specification, First Edition</t>
  </si>
  <si>
    <t>1.1 This Draft Tanzania Standard specifies sampling, the constructional particulars and performance requirements of tufted artificial grass made from polypropylene fibrillated yarn, polyethylene monofilament yarn or combination of both._x000D_
1.2 This Draft Tanzania Standard does not specify the general appearance, design and size of artificial grass carpet.</t>
  </si>
  <si>
    <t>Turf, of man-made textile materials, tufted "needle punched", whether or not made up (excl. of nylon or other polyamides) (HS code(s): 570331); Floor coverings (ICS code(s): 97.150)</t>
  </si>
  <si>
    <t>570331 - Turf, of man-made textile materials, tufted "needle punched", whether or not made up (excl. of nylon or other polyamides)</t>
  </si>
  <si>
    <t>97.150 - Floor coverings</t>
  </si>
  <si>
    <r>
      <rPr>
        <sz val="11"/>
        <rFont val="Calibri"/>
      </rPr>
      <t>https://members.wto.org/crnattachments/2026/TBT/TZA/26_01435_00_e.pdf</t>
    </r>
  </si>
  <si>
    <t>TZS 4 Rounding off numerical values. TZS 40 Textiles - Tests for colour fastness – Colour fastness to light: Daylight. TZS 4641 - Textile floor coverings - Burning behaviour - Tablet test at ambient temperature ISO 105-E01 - Textiles - Tests for colour fastness - Colour fastness to water ISO 2551 – Textile floor coverings and Textile floor coverings inn Tukes form – Determination of effects of varied water and heat conditions and distortion out of plane. ISO 3018 – Textile floor coverings – Rectangular textile floor coverings – Determination of Dimensions ISO 4919 - Carpets – Determination of Tuft withdrawn force ISO 8543 – Textile floor covering – Determination of mass ISO 18168 – Textile floor coverings — Colour fastness to shampooing ISO 23122, Textile floor covering – Production of change in appearance by means of Hexapod tumbler Tester ISO 1766 - Textile floor coverings — Determination of thickness of pile above the substrate ISO 10834 - Textile floor coverings — Non-destructive measurement of pile thickness above the backing — WRONZ gauge method </t>
  </si>
  <si>
    <t>AFDC 15 (2800) DTZS, Soft candies - Specification, First edition </t>
  </si>
  <si>
    <t>This Tanzania Standard specifies requirements and methods of sampling and testing for soft candies intended for human consumption._x000D_
This standard does not apply to toffee, caramel and fudges in which specific national standard is availableNote: This Draft Tanzania Standard was also notified under SPS committee.</t>
  </si>
  <si>
    <t>SUGARS AND SUGAR CONFECTIONERY (HS code(s): 17); Sugar and sugar products (ICS code(s): 67.180.10)</t>
  </si>
  <si>
    <r>
      <rPr>
        <sz val="11"/>
        <rFont val="Calibri"/>
      </rPr>
      <t>https://members.wto.org/crnattachments/2026/TBT/TZA/26_01441_00_e.pdf</t>
    </r>
  </si>
  <si>
    <t>Codex Stan 193, Codex General Standard for Contaminants and Toxins in FoodsCodex Stan 192, Codex General Standard for foods additives.TZS 4, Rounding off numerical valuesTZS 109, Food processing units - Code of hygiene - GeneralTZS 155, Sugar confectionery – Methods of sampling and analysisTZS 2426-2, Microbiology of food and animal feeding stuff — General guidance for enumeration of yeasts and moulds — Colony count technique at 25 °CTZS 122-1, Microbiology of food and feeding stuffs - Horizontal method for the detection of salmonella sppTZS 125-1, Microbiology of food and animal feeding stuffs – Horizontal method for the enumeration of coagulase-positive staphylococci (Staphylococcus aureus and other species) – Part 1: Technique using Baird-Parker agar mediumTZS 538, Packaging and labeling of foodsTZS 731-2, Microbiology of food and feeding-stuffs – Horizontal method for the detection and enumeration of presumptive Escherichia Coli – Most Probable Number Technique.</t>
  </si>
  <si>
    <t>AFDC 22(4330) DTZS, Chilled and frozen Ostrich meat — Specification, First edition </t>
  </si>
  <si>
    <t>This Tanzania Standard specifies requirements, sampling and test methods for chilled and frozen ostrich meat intended for human consumptionNote: This Draft Tanzania Standard was also notified under SPS committee.</t>
  </si>
  <si>
    <t>(HS code(s): 0207); Meat and meat products (ICS code(s): 67.120.10)</t>
  </si>
  <si>
    <r>
      <rPr>
        <sz val="11"/>
        <rFont val="Calibri"/>
      </rPr>
      <t>https://members.wto.org/crnattachments/2026/TBT/TZA/26_01432_00_e.pdf</t>
    </r>
  </si>
  <si>
    <t>TZS 4, Rounding off numerical valuesTZS 76 General method for determination of arsenic silver diethyldithiocarmate photometric methodTZS 2180 Ante-mortem and post-mortem inspections of poultry — Code of practiceTZS 118, Microbiology of food and animal feeding stuffs — Horizontal method for the enumeration of microorganisms — Colony-count technique at 30 oCTZS 109 Food processing units — Code of hygieneTZS 119 Microbiology — General guidance for the enumeration of coliforms — Most Probable Number technique (MPN)TZS 122 Microbiology of food and animal feeding stuffs — Horizontal method for the detection of Salmonella sppTZS 125, Microbiology of food and animal feeding stuffs — Horizontal method for the enumeration of coagulase-positive staphylococci (Staphylococcus aureus and other species) — Part 1: Technique using Baird-parker agar medium — Amendment 1: Inclusion of precision dataTZS 129, Meat and meat products — Microbiological examination — SamplingTZS 268 General atomic absorption spectrophotometric method for determination of lead in food and food stuffsTZS 459 Poultry processing — Code of hygieneTZS 538, Labelling of pre-packaged foods — General requirementsTZS 731, Microbiology of food and feeding stuffs — Horizontal method for detection and enumeration of presumptive Escherichia coli — Most Probable Number TechniqueTZS 852-1, Microbiology of food and animal feeding stuffs — Horizontal method for detection and enumeration of Listeria monocytogenes — Part 1: Detection methodTZS 852-2, Microbiology of food and animal feeding stuffs — Horizontal method for detection and enumeration of Listeria monocytogenes — Enumeration methodTZS 963-2, Starch and derived products — Heavy metals content — Part 2: Determination of mercury content by atomic absorption spectrometryTZS 963, Starch and derived products — Heavy metals content — Part 4: Determination of cadmium content by atomic absorption spectrometry with electro\-thermal atomizationCodex Stan 193, Codex general standard for contaminants and toxins in food and feedCXM 2</t>
  </si>
  <si>
    <t>Emergency measures for nursery stock and tissue culture against Xylella fastidiosa and related Xylella species</t>
  </si>
  <si>
    <t>On 9 November 2015, Australia notified of the implementation of emergency measures for the import of nursery stock, tissue cultures, cuttings, budwood, rooted plants, corms and bulbs against Xylella fastidiosa and related Xylella species. Further to notifications: G/SPS/N/AUS/376; G/SPS/N/AUS/376/Add.1; G/SPS/N/AUS/376/Add.2; G/SPS/N/AUS/376/Add.3; G/SPS/N/AUS/376/Add.4; G/SPS/N/AUS/538; G/SPS/N/AUS/557; G/SPS/N/AUS/376/Add.5; G/SPS/N/AUS/376/Add.6, G/SPS/N/AUS/376/Add.7 and G/SPS/N/AUS/376/Add.8 and based on additional information on the host range of Xylella fastidiosa and related Xylella species, Australia notifies that emergency measures for Xylella will be extended to nursery stock belonging to all species within the Musa genus from 13 March 2026. This change will ensure that Australia’s import conditions continue to be effective in reducing the risk of Xylella from entering Australia.</t>
  </si>
  <si>
    <t>Nursery stock, tissue culture, cuttings, budwood, rooted plants, corms and bulbs of 89 families of plants known to host Xylella spp.</t>
  </si>
  <si>
    <t>0601 - Bulbs, tubers, tuberous roots, corms, crowns and rhizomes, dormant, in growth or in flower; chicory plants and roots other than roots of heading No. 1212.; 0602 - Live plants incl. their roots, cuttings and slips; mushroom spawn (excl. bulbs, tubers, tuberous roots, corms, crowns and rhizomes, and chicory plants and roots); 0602 - Live plants incl. their roots, cuttings and slips; mushroom spawn (excl. bulbs, tubers, tuberous roots, corms, crowns and rhizomes, and chicory plants and roots); 0601 - Bulbs, tubers, tuberous roots, corms, crowns and rhizomes, dormant, in growth or in flower, chicory plants and roots (excl. bulbs, tubers and tuberous roots used for human consumption and chicory roots of the variety cichorium intybus sativum); 0602 - Live plants incl. their roots, cuttings and slips; mushroom spawn (excl. bulbs, tubers, tuberous roots, corms, crowns and rhizomes, and chicory plants and roots); 0601 - Bulbs, tubers, tuberous roots, corms, crowns and rhizomes, dormant, in growth or in flower; chicory plants and roots other than roots of heading No. 1212.</t>
  </si>
  <si>
    <t>Pests; Modification of content/scope of regulation; Plant health; Pests; Plant health</t>
  </si>
  <si>
    <r>
      <rPr>
        <sz val="11"/>
        <rFont val="Calibri"/>
      </rPr>
      <t>When published
 the revised import conditions will be made available in the Biosecurity Import Conditions system (BICON): https://bicon.agriculture.gov.au/BiconWeb4.0/.</t>
    </r>
  </si>
  <si>
    <t>AFDC 7 (4025) DTZS, Essential oil of cardamom - Specification, First edition </t>
  </si>
  <si>
    <t>This Tanzania Standard specifies the requirements, methods of sampling and test for essential oil of cardamom intended for human consumptionNote: This Draft Tanzania Standard was also notified under SPS committee.</t>
  </si>
  <si>
    <t>- Essential oils other than those of citrus fruit: (HS code(s): 33012); Essential oils (ICS code(s): 71.100.60)</t>
  </si>
  <si>
    <r>
      <rPr>
        <sz val="11"/>
        <rFont val="Calibri"/>
      </rPr>
      <t>https://members.wto.org/crnattachments/2026/TBT/TZA/26_01433_00_e.pdf</t>
    </r>
  </si>
  <si>
    <t>CXS 193, General standard for contaminants and toxins in food and feedTZS 109, Codes of hygiene for food processing units — GeneralTZS 4, Rounding off numerical valuesTZS 538, Packaging and labeling of foodsTZS 1328: 2017 (1st Ed) -ISO 279, Essential oils - Determination of relative density at 20°C – Reference methodAFDC 7 (4438)ISO 280:1998 Essential oils - Determination of refractive indexAFDC 7 (4436)/ ISO 1242:2023 Essential oils - Determination of acid value by two titration methods, manual and automaticAFDC 7 (4441) / ISO 592:1998 Essential oils - Determination of optical rotationAFDC 7 (4444)/ISO 875:1999 Essential oils - Evaluation of miscibility in ethanolAFDC 7 (4439)/ ISO 709:2001 Essential oils - Determination of ester valueAFDC7 (4435) ISO 212:2007, Essential oils — Sampling</t>
  </si>
  <si>
    <t>AFDC 14 (3721) DTZS, Holomo cheese – Specification, First edition </t>
  </si>
  <si>
    <t>This Tanzania standard specifies requirements, sampling and test methods for holomo cheese intended for direct consumption or for further processing.Note: This Draft Tanzania Standard was also notified under SPS committee.</t>
  </si>
  <si>
    <r>
      <rPr>
        <sz val="11"/>
        <rFont val="Calibri"/>
      </rPr>
      <t>https://members.wto.org/crnattachments/2026/TBT/TZA/26_01434_00_e.pdf</t>
    </r>
  </si>
  <si>
    <t>TZS 4, Rounding off numerical values.TZS 109, Food processing units — Code of hygieneTZS 112, Milk — Production, processing, transportation and distribution — Code of hygieneTZS 118, Microbiology of food and animal feeding stuffs — Horizontal method for enumeration of micro- organisms — Colony count technique at 30°CTZS 119, Microbiology — General guidance for the enumeration of coliforms — Most Probable Number technique (MPN)TZS 122, Microbiology of food and feeding stuffs — Horizontal method for the detection of salmonella sppTZS 124, Milk and milk products — Sampling for microbiological examinationTZS 125, Microbiology of food and animal feeding stuffs — Horizontal method for enumeration of coagulase — positive staphylococci (staphylococcus aureus and other species)TZS 131, Microbiology — General guidance for enumeration of yeast and moulds — Colony count technique at 25°CTZS 268, General atomic absorption spectrophotometric method for determination of lead in food stuffsTZS 449, General standard for cheese — SpecificationTZS 450, Cheese methods of sampling and testTZS 538, Packaging and labeling of foodsTZS 731, Microbiology of food and feeding stuffs — Horizontal method for detection and enumeration of presumptive Escherichia Coli — Most Probable Number TechniqueTZS 799, Food stuffs – Determination of aflatoxin B1 and the total contentTZS 1290, Cheese and processed cheese products — Determination of chloride content by Polari metric titration methodTZS 1292, Cheese and processed cheese products — Determination of fat content — Gravimetric method (Reference methodTZS 1326, Animal and vegetable fats and oil — Determination of moisture and volatile matter</t>
  </si>
  <si>
    <t>AFDC 15 (3835) DTZS, Liquid candies – Specification,First edition </t>
  </si>
  <si>
    <t>This Tanzania Standard specifies requirements and methods of sampling and testing for liquid candies intended for human consumption.Note: This Draft Tanzania Standard was also notified under SPS committee.</t>
  </si>
  <si>
    <r>
      <rPr>
        <sz val="11"/>
        <rFont val="Calibri"/>
      </rPr>
      <t>https://members.wto.org/crnattachments/2026/TBT/TZA/26_01442_00_e.pdf</t>
    </r>
  </si>
  <si>
    <t>Codex Stan 193, Codex General Standard for Contaminants and Toxins in FoodsCodex Stan 192, Codex General Standard for foods additives.TZS 4, Rounding off numerical valuesTZS 109, Food processing units - Code of hygiene - GeneralTZS 155, Sugar confectionery – Methods of sampling and analysisTZS 2426-2, Microbiology of food and animal feeding stuff — General guidance for enumeration of yeasts and moulds — Colony count technique at 25 °CTZS 122-1, Microbiology of food and feeding stuffs - Horizontal method for the detection of salmonella spp.TZS 125-1, Microbiology of food and animal feeding stuffs – Horizontal method for the enumeration of coagulase-positive staphylococci (Staphylococcus aureus and other species) – Part 1: Technique using Baird-Parker agar mediumTZS 538, Packaging and labeling of foodsTZS 731-2, Microbiology of food and feeding-stuffs – Horizontal method for the detection and enumeration of presumptive Escherichia Coli – Most Probable Number Technique.TZS 1491, Fruit and Vegetable products - Determination of pH</t>
  </si>
  <si>
    <t> SASO 2885:2025 - “Electrical Clothes Washing Machines - Energy and Water Performance Requirements and Labelling”</t>
  </si>
  <si>
    <t>This notification concerns new draft revision of Saudi Standard SASO 2885, titled: "Electrical Clothes Washing Machines – Energy and Water Performance Requirements and Labelling."This draft incorporates revisions made in response to comments received on the previously notified Rv1. version of the standard.The standard specifies the Minimum Energy Performance Requirements (MEPS) as well as the testing, calculation, and labelling procedures for electric mains-operated washing machines and washer-dryers with capacities up to 25 kg, including built-in units, multi-drum washing machines, and washer-dryers. The scope also includes appliances that are mains-operated but can additionally be powered by batteries.In response to the received technical comments, amendments and additions have been incorporated into the final draft of the standard. The revisions affect the following clauses: 2, 3.9, 3.11, 3.15, 3.17, 3.24, 4.1.1, 4.2, 4.3, 5.3, 5.5, 6, A.3, B.2.</t>
  </si>
  <si>
    <t>Laundry appliances (ICS code(s): 97.060)</t>
  </si>
  <si>
    <t>97.060 - Laundry appliances</t>
  </si>
  <si>
    <t>This is a draft of Updated version of standard number SASO 2885:2018 "Electrical Clothes Washing Machines - Energy and Water Performance Requirements and Labelling".; Consumer information, labelling; Cost saving and productivity enhancement </t>
  </si>
  <si>
    <t>The Proposed date of adoption and entry into force is 2 years after the date of publication in the official Gazette.</t>
  </si>
  <si>
    <r>
      <rPr>
        <sz val="11"/>
        <rFont val="Calibri"/>
      </rPr>
      <t>https://members.wto.org/crnattachments/2026/TBT/SAU/26_01404_00_e.pdf</t>
    </r>
  </si>
  <si>
    <t> AFDC 31 (3448) DTZS.Day-old chicks—Specifications,First edition </t>
  </si>
  <si>
    <t>This Tanzania standard specifies requirements, sampling and test methods for day old chicks intended for use as layers and broilers. It excludes day old chicks from other domesticated poultryNote: This Draft Tanzania Standard was also notified under SPS committee.</t>
  </si>
  <si>
    <r>
      <rPr>
        <sz val="11"/>
        <rFont val="Calibri"/>
      </rPr>
      <t>https://members.wto.org/crnattachments/2026/TBT/TZA/26_01429_00_e.pdf</t>
    </r>
  </si>
  <si>
    <t>TZS 4, Rounding off numerical values</t>
  </si>
  <si>
    <t>Legal Inspection Requirements for Soother Holders</t>
  </si>
  <si>
    <t>The purpose of this notification is to provide the final texts of "Legal Inspection Requirements for Soother Holders" and relevant dates of its implementation. The draft texts notified in "G/TBT/N/TPKM/583" were adopted with a minor change, namely that the originally proposed implementation date of 1 July 2026 is extended to 1 July 2027.</t>
  </si>
  <si>
    <t>Soother holders. (HS code(s): 3926)</t>
  </si>
  <si>
    <t>3926 - Articles of plastics and articles of other materials of heading 3901 to 3914, n.e.s.; 3926 - Articles of plastics and articles of other materials of heading 3901 to 3914, n.e.s.</t>
  </si>
  <si>
    <t>97.190 - Equipment for children; 97.190 - Equipment for children</t>
  </si>
  <si>
    <r>
      <rPr>
        <sz val="11"/>
        <rFont val="Calibri"/>
      </rPr>
      <t>https://members.wto.org/crnattachments/2026/TBT/TPKM/final_measure/26_01402_00_e.pdf
https://members.wto.org/crnattachments/2026/TBT/TPKM/final_measure/26_01402_00_x.pdf</t>
    </r>
  </si>
  <si>
    <t>Notice of Availability and Request for Comment: Revision to the 
Voluntary Standard for Toddler Beds</t>
  </si>
  <si>
    <t>The U.S. Consumer Product Safety Commission's (Commission or CPSC) mandatory rule, Safety Standard for Toddler Beds, incorporates by reference ASTM F1821-19e1, Standard Consumer Safety Specification for Toddler Beds. ASTM notified the Commission that it has revised this incorporated voluntary standard. CPSC seeks comment on whether the revision improves the safety of toddler beds.Comments must be received by 25 March 2026.91 Federal Register (FR) 11944, 11 March 2026; Title 16 Code of Federal Regulations (CFR) Part 1217_x000D_
https://www.govinfo.gov/content/pkg/FR-2026-03-11/html/2026-04749.htmhttps://www.govinfo.gov/content/pkg/FR-2026-03-11/pdf/2026-04749.pdfThis notice of availability; request for comment and previous actions notified under the symbol G/TBT/N/USA/539/Rev.1 are identified by Docket Number CPSC-2017-0012. The Docket Folder is available on Regulations.gov at https://www.regulations.gov/docket/CPSC-2017-0012/document and provides access to primary and supporting documents as well as comments received. Documents are also accessible from Regulations.gov by searching the Docket Number. WTO Members and their stakeholders are asked to submit comments to the USA TBT Enquiry Point. Comments received by the USA TBT Enquiry Point from WTO Members and their stakeholders by 4pmEastern Time on 25 March 2026 will be shared with CPSC and will also be submitted to the Docket on Regulations.gov if received within the comment period.</t>
  </si>
  <si>
    <t>Toddler beds</t>
  </si>
  <si>
    <t>9404 - Mattress supports (excl. spring interiors for seats); articles of bedding and similar furnishing, e.g. mattresses, quilts, eiderdowns, cushions, pouffes and pillows, fitted with springs or stuffed or internally filled with any material or of cellular rubber or plastics, whether or not covered (excl. pneumatic or water mattresses and pillows, blankets and covers); 9404 - Mattress supports (excl. spring interiors for seats); articles of bedding and similar furnishing, e.g. mattresses, quilts, eiderdowns, cushions, pouffes and pillows, fitted with springs or stuffed or internally filled with any material or of cellular rubber or plastics, whether or not covered (excl. pneumatic or water mattresses and pillows, blankets and covers)</t>
  </si>
  <si>
    <t>13.120 - Domestic safety; 13.120 - Domestic safety; 97.140 - Furniture; 97.140 - Furniture; 97.190 - Equipment for children; 97.190 - Equipment for children</t>
  </si>
  <si>
    <r>
      <rPr>
        <sz val="11"/>
        <rFont val="Calibri"/>
      </rPr>
      <t>https://members.wto.org/crnattachments/2026/TBT/USA/26_01396_00_e.pdf</t>
    </r>
  </si>
  <si>
    <t>Proposed Amendments to the On-Road Heavy-Duty Engine and Vehicle Omnibus, Low Carbon Fuel Standard Regulations, and to Permanently Adopt the Emergency Vehicle Emissions Regulations</t>
  </si>
  <si>
    <t>The California Air Resources Board (CARB or Board) proposes to readopt emergency vehicle emissions regulations (the “Emergency Vehicle Emissions Regulations”) for an additional 90 days under California Government Code, section 11346.1, subdivision (h). CARB adopted the Emergency Vehicle Emissions Regulations on 15 September 2025, amending California Code of Regulations (CCR), titles 13 and 17, and adopting new sections into California Code of Regulations, titles 13 and 17. The Emergency Vehicle Emissions Regulations confirm that, until a court resolves the uncertainty created by the federal government’s actions, certain antecedent regulations (displaced by Advanced Clean Cars (ACC) II and Omnibus) remain operative (as previously adopted) with the caveat that CARB may enforce ACC II and Omnibus, to the extent permitted by law, in the event a court of law holds invalid the resolutions purporting to disapprove those waivers.The Emergency Vehicle Emissions Regulations became effective on 2 October 2025. Unless permanently adopted within a period of 180 days from the effective date or readopted for an additional 90 days, the Emergency Vehicle Emissions Regulations will expire on 1 April 2026. (Government Code section 11346.1, subds. (e) &amp; (h).) This readoption would extend the effectiveness of the Emergency Vehicle Emissions Regulations from 1 April 2026 to 30 June 2026.Further information from CARB:Proposed Emergency Amendment and Adoption of Vehicle Emissions Regulationshttps://ww2.arb.ca.gov/rulemaking/2025/emergencyvehemissionsOn-Road Heavy-Duty Engine and Vehicle Omnibus, Low Carbon Fuel Standard, and Emergency Vehicle Emissions Regulationshttps://ww2.arb.ca.gov/rulemaking/2025/orhdomnibusWritten Comment Period and Comment SubmittalCalifornia Government Code section 11346.1(a)(2) requires that, at least five working days prior to submission of the proposed emergency rulemaking to the Office of Administrative Law (OAL), CARB provides a notice of the proposed emergency rulemaking to every person who has filed a request for notice of regulatory action. After submission of the proposed emergency rulemaking to OAL, interested parties will be provided five calendar days to submit comments on the proposed emergency regulations, as set forth in California Government Code section 11349.6CARB intends to submit this proposed readoption of Emergency Vehicle Emissions Regulations to OAL on 16 March 2026. The submitted action will appear on the list of “Emergency Regulations Under Review” on OAL’s website at: https://oal.ca.gov/emergency_regulations/Emergency_Regulations_Under_Review/.WTO Members and their stakeholders are asked to submit comments to the USA TBT Enquiry Point within five days of the emergency rulemaking posting described above.  Comments received by the USA TBT Enquiry Point from WTO Members and their stakeholders will be shared with CARB. </t>
  </si>
  <si>
    <t>Amendments to the Legal Inspection Requirements for Children’s High Chairs</t>
  </si>
  <si>
    <t>The purpose of this notification is to provide the final texts of “Amendments to the Legal Inspection Requirements for Children’s High Chairs” and relevant dates of its implementation. The draft texts notified in “G/TBT/N/TPKM/582” were adopted with a minor change, namely that the originally proposed implementation date of 1 January 2027 is extended to 1 July 2027.</t>
  </si>
  <si>
    <t>Children’s high chairs.(HS code(s): 9401)</t>
  </si>
  <si>
    <t>9401 - Seats, whether or not convertible into beds, and parts thereof, n.e.s. (excl. medical, surgical, dental or veterinary of heading 9402); 9401 - Seats, whether or not convertible into beds, and parts thereof, n.e.s. (excl. medical, surgical, dental or veterinary of heading 9402)</t>
  </si>
  <si>
    <r>
      <rPr>
        <sz val="11"/>
        <rFont val="Calibri"/>
      </rPr>
      <t>https://members.wto.org/crnattachments/2026/TBT/TPKM/final_measure/26_01398_00_e.pdf
https://members.wto.org/crnattachments/2026/TBT/TPKM/final_measure/26_01398_00_x.pdf</t>
    </r>
  </si>
  <si>
    <t>Proyecto de Resolución para regular la importación de frutas de Kaki (Diospyros kaki) para consumo fresco originarias de Brasil (Draft Resolution governing the importation, for consumption, of fresh persimmons (Diospyros kaki) originating in Brazil)</t>
  </si>
  <si>
    <t>The notified draft Resolution establishes phytosanitary measures for the importation, for consumption, of fresh persimmons (Diospyros kaki) originating in Brazil.</t>
  </si>
  <si>
    <t>Fresh persimmons (HS code(s): 081070)</t>
  </si>
  <si>
    <t>081070 - Fresh persimmons</t>
  </si>
  <si>
    <r>
      <rPr>
        <sz val="11"/>
        <rFont val="Calibri"/>
      </rPr>
      <t>https://members.wto.org/crnattachments/2026/SPS/CRI/26_01384_00_s.pdf</t>
    </r>
  </si>
  <si>
    <t>Proyecto de Resolución para regular la importación de frutas de Kaki (Diospyros kaki) para consumo fresco originarias de Uruguay (Draft Resolution governing the importation, for consumption, of fresh persimmons (Diospyros kaki) originating in Uruguay)</t>
  </si>
  <si>
    <t>The notified draft Resolution establishes phytosanitary measures for the importation, for consumption, of fresh persimmons (Diospyros kaki) originating in Uruguay.</t>
  </si>
  <si>
    <t>Uruguay</t>
  </si>
  <si>
    <r>
      <rPr>
        <sz val="11"/>
        <rFont val="Calibri"/>
      </rPr>
      <t>https://members.wto.org/crnattachments/2026/SPS/CRI/26_01388_00_s.pdf</t>
    </r>
  </si>
  <si>
    <t>Senegal</t>
  </si>
  <si>
    <t>Arrêté 003896 rendant d'application obligatoire la norme NS 01-047 Batteries d'accumulateurs de démarrage au plomb</t>
  </si>
  <si>
    <t>The notified Order establishes the procedures for compliance control of lead-acid starter batteries in Senegal.The placing on the market of starter batteries that are manufactured locally or imported requires prior authorization from the Directorate of Internal Trade.</t>
  </si>
  <si>
    <t>Accumulateurs au plomb, pour le démarrage des moteurs à piston (sauf hors d'usage) (Code(s) du SH : 850710); (Code(s) de l'ICS : 29.220.20)</t>
  </si>
  <si>
    <t>850710 - Lead-acid accumulators of a kind used for starting piston engine "starter batteries" (excl. spent)</t>
  </si>
  <si>
    <t>29.220.20 - Acid secondary cells and batteries</t>
  </si>
  <si>
    <t>Consumer information, labelling (TBT); Prevention of deceptive practices and consumer protection (TBT); Protection of human health or safety (TBT); Protection of the environment (TBT); Quality requirements (TBT)</t>
  </si>
  <si>
    <t>Les batteries d’accumulation au plomb constituent un élément essentiel pour de nombreux secteurs économiques du Sénégal, notamment le transport, l’énergie solaire, les télécommunications et l’industrie.Cependant, la qualité et la sécurité des batteries mises sur le marché varient considérablement en raison de l’absence d’un cadre réglementaire national fixant des exigences techniques minimales de fabrication, de performance et de sécurité.Cette situation favorise l’importation et la commercialisation de produits de qualité inférieure, présentant des risques pour :la sécurité des utilisateurs (risques de fuite d’acide, d’explosion ou d’incendie) ;la durabilité des batteries ;et la protection de l’environnement, en raison des pratiques non conformes liées à l’utilisation du plomb et des matières dangereuses.L’objectif principal du projet d’arrêté est d’établir à la suite du cadre normatif, un cadre réglementaire garantissant la qualité, la sécurité et la conformité environnementale des batteries d’accumulation au plomb fabriquées ou importées au Sénégal.De manière spécifique, l’arrêté vise à :Définir les spécifications techniques applicables aux batteries au plomb (capacité, durabilité, sécurité chimique, performance) ;Imposer la conformité aux normes nationales et internationales reconnues ;Encadrer le procédé de fabrication, les matériaux utilisés et les conditions d’essai ;Garantir la traçabilité et la certification de conformité des produits avant leur mise sur le marché ;Ces pratiques non régulées nuisent à la santé publique, en exposant les consommateurs à des carences nutritionnelles ou à des risques sanitaires. Par ailleurs, elles compromettent la compétitivité des produits locaux, alors que des entreprises sénégalaises investissent dans la production de batteries d’accumulateur à plomb.Face à ces enjeux, la norme NS 01-047 – Batteries d’accumulateur à plomb a été élaborée pour :Garantir une qualité des batteries d’accumulation à plomb disponibles sur le marché sénégalais ;Protéger les consommateurs contre les fraudes et les produits non conformes </t>
  </si>
  <si>
    <t>In force</t>
  </si>
  <si>
    <t xml:space="preserve">En vigueur </t>
  </si>
  <si>
    <r>
      <rPr>
        <sz val="11"/>
        <rFont val="Calibri"/>
      </rPr>
      <t>https://members.wto.org/crnattachments/2026/TBT/SEN/26_01386_00_f.pdf</t>
    </r>
  </si>
  <si>
    <t>https://www.asn.sn/fr/content/batteries-daccumulateurs-de-d%C3%A9marrage-au-plomb</t>
  </si>
  <si>
    <t>Comment Period Extension for Clinical Trials Regulations and Regulations Amending Certain Regulations Relating to Clinical Trials</t>
  </si>
  <si>
    <t>The purpose of this Notification is to inform stakeholders that the opportunity to comment on the proposed Clinical Trials Regulations and Regulations Amending Certain Regulations Relating to Clinical TrialsG/TBT/N/CAN/766) has been extended. The consultation period that opened on 20 December 2025 has now been extended from 20 March 2026 to 19 April 2026 at 11:59 p.m. Eastern Daylight Time (EDT).In addition, the opportunity to comment on the Updated proposal on Clinical Trials Regulations and Regulations Amending Certain Regulations Relating to Clinical Trials(G/TBT/N/CAN/766/Add.1) related to the proposed policy for clinical trials involving cells, tissues, and organsand the proposed policy for clinical trials involving blood and blood components has been extended.The consultation period that opened on 2 February 2026 has now been extended from 20 March 2026 to 19 April 2026 at 11:59 p.m. Eastern Daylight Time (EDT).</t>
  </si>
  <si>
    <t>Drugs (ICS code: 11.120)</t>
  </si>
  <si>
    <t>11.120 - Pharmaceutics; 11.120 - Pharmaceutics</t>
  </si>
  <si>
    <t>The objective of this proposal is to establish a modernized regulatory framework for the flexible oversight of clinical trials involving drugs throughout their lifecycles. The proposed framework is expected to better support complex and innovative trials, allowing people in Canada to benefit from new drug therapies and innovative trial designs. The proposed framework would uphold the underlying core principles common to the regulation of all clinical trial types, including the protection of participants’ safety and ensure the reliability of trial-related data, while also facilitating access to clinical trials, supporting complex and innovative trials and the development of new drugs, and advancing international alignment.</t>
  </si>
  <si>
    <t>Human health; Human health</t>
  </si>
  <si>
    <r>
      <rPr>
        <sz val="11"/>
        <rFont val="Calibri"/>
      </rPr>
      <t>https://gazette.gc.ca/rp-pr/p1/2025/2025-12-20/html/reg2-eng.html (anglais)
https://gazette.gc.ca/rp-pr/p1/2025/2025-12-20/html/reg2-fra.html (français)
https://gazette.gc.ca/rp-pr/p1/2025/2025-12-20/html/reg3-eng.html (anglais)
https://gazette.gc.ca/rp-pr/p1/2025/2025-12-20/html/reg3-fra.html (français)
https://www.canada.ca/en/health-canada/programs/consultation-modernizing-framework-clinical-trials.html (anglais)
https://www.canada.ca/fr/sante-canada/programmes/consultation-modernisation-cadre-essais-cliniques.html (français)</t>
    </r>
  </si>
  <si>
    <t>Switzerland</t>
  </si>
  <si>
    <t>Ordinance on the Implementation of Foodstuffs Legislation</t>
  </si>
  <si>
    <t>The Ordinance on the Implementation of Foodstuffs Legislation lays down rules concerning the temporary increase of official controls upon entry into Switzerland on certain food and feed of non-animal origin from certain third countries (in Annex II); special import conditions for certain food and feed from certain third countries due to the contamination risk by mycotoxins, including aflatoxins, pesticide residues, and microbiological contamination (in Annex III - increased official border controls and official certificate accompanied by the results of sampling and analysis in the third country)._x000D_
This Implementing Regulation amends both Annexes by updating it to the modifications implemented by theCommission implementing regulation (EU) 2026/194 of 28 January 2026 amending Implementing Regulation (EU) 2019/1793 on the temporary increase of official controls and emergency measures governing the entry into the Union of certain goods from certain third countries implementing Regulations (EU) 2017/625; and Commission implemtening regulation EC No 178/2002 of the European Parliament and of the Counciland 2026/459  of 24 February 2026 amending Implementing Regulation (EU) 2019/1793 as regards the temporary increase of official controls and emergency measures governing the entry into the Union of arachidonic acid oil origination in China.</t>
  </si>
  <si>
    <t>Arachidonic Acid oil originating from China and multiple commodities</t>
  </si>
  <si>
    <t>Food safety; Human health; Aflatoxins; Contaminants; Mycotoxins</t>
  </si>
  <si>
    <r>
      <rPr>
        <sz val="11"/>
        <rFont val="Calibri"/>
      </rPr>
      <t>https://members.wto.org/crnattachments/2026/SPS/CHE/26_01304_01_x.pdf
https://members.wto.org/crnattachments/2026/SPS/CHE/26_01304_00_f.pdf
https://members.wto.org/crnattachments/2026/SPS/CHE/26_01304_00_x.pdf</t>
    </r>
  </si>
  <si>
    <t>Maximum residue levels for benomyl, carbendazim and thiophanate-methyl in or on certain products</t>
  </si>
  <si>
    <t>This corrigendum corrects an error in Box 11 of notification G/SPS/N/EU/916 of 5 February 2026 (Draft Commission Regulation amending Annexes II, III and V to Regulation (EC) No 396/2005 of the European Parliament and of the Council as regards maximum residue levels for benomyl, carbendazim and thiophanate‐methyl in or on certain products (Text with EEA relevance)).“This Regulation shall enter into force on the twentieth day following that of its publication in the Official Journal of the European Union and apply three months thereafter” should read “This Regulation shall enter into force on the twentieth day following that of its publication in the Official Journal of the European Union, and apply six months thereafter”.</t>
  </si>
  <si>
    <t>Cereals (HS codes: 1001, 1002, 1003, 1004, 1005, 1006, 1007, 1008), foodstuffs of animal origin (HS codes: 0201, 0202, 0203, 0204, 0205, 0206, 0207, 0208, 0209, 0210) and certain products of plant origin, including fruit and vegetables</t>
  </si>
  <si>
    <t>10 - CEREALS; 02 - MEAT AND EDIBLE MEAT OFFAL; 02 - MEAT AND EDIBLE MEAT OFFAL; 10 - CEREALS</t>
  </si>
  <si>
    <t>Maximum residue limits (MRLs); Food safety; Human health; Food safety; Maximum residue limits (MRLs)</t>
  </si>
  <si>
    <t>Anteproyecto de Norma de Emisión para Calderas</t>
  </si>
  <si>
    <t>This document presents the draft emission standard for boilers, currently under public consultation. The purpose of the notified emission standard is to regulate emissions of particulate matter (PM), nitrogen oxides (NOx), sulphur dioxide (SO2), and mercury (Hg) from boilers, in order to prevent harm and protect human health and the environment. This regulation, the first national-level regulation in Chile, will apply throughout the territory to both new and existing sources, including cogeneration systems and waste-heat recovery boilers with auxiliary combustion.</t>
  </si>
  <si>
    <t>Calderas</t>
  </si>
  <si>
    <t>13.020 - Environmental protection</t>
  </si>
  <si>
    <t>-</t>
  </si>
  <si>
    <r>
      <rPr>
        <sz val="11"/>
        <rFont val="Calibri"/>
      </rPr>
      <t>https://members.wto.org/crnattachments/2026/TBT/CHL/26_01378_00_s.pdf</t>
    </r>
  </si>
  <si>
    <t>Ley N° 19.300 sobre Bases Generales del Medio Ambiente.Decreto Supremo N°6, de 2024, del Ministerio del Medio Ambiente.</t>
  </si>
  <si>
    <t>Ecuador</t>
  </si>
  <si>
    <t>Modificatoria 3 al Reglamento Técnico Ecuatoriano RTE INEN 142 "Llaves o válvulas de uso domiciliario" (Amendment No. 3 to Ecuadorian Standardization Institute Technical Regulation (RTE INEN) No. 142 "Cocks and valves for domestic use")</t>
  </si>
  <si>
    <t>The Republic of Ecuador hereby notifies Resolution MPCEI-SC-2025-0279-R - Amendment No. 3 to Ecuadorian Standardization Institute Technical Regulation (RTE INEN) No. 142 "Cocks and valves for domestic use", contained in Resolution No. 14 404 of 15 August 2014, Amendment No. 1 thereto, contained in Resolution MPCEIP-SC-2025-0225-R of 24 July 2025, and Amendment No. 2 thereto, contained in Resolution MPCEI-SC-2025-0279-R of 17 October 2025. 1 This information can be provided by including a website address, a PDF attachment, or other information on where the text of the final/modified measure and/or interpretative guidance can be obtained.G/TBT/N/ECU/180/Add.6- 2 - Amendment No. 3 thereto entered into force on 10 March 2026, without prejudice to its publication in the Official Journal.Amendment No. 3 to RTE INEN No. 142 provides as follows:"(…)1. In the third paragraph of the Annex to Amendment No. 2 to Ecuadorian Standardization Institute Technical Regulation (RTE INEN) No. 142 "Cocks and valves for domestic use", contained in Resolution MPCEI-SC-2025-0279-R of 17 October 2025,Substitute (translation)"ARTICLE 3 - This Resolution will enter into force on 12 March 2026, without prejudice to its publication in the Official Journal."for"ARTICLE 3 - This Resolution will enter into force on 12 September 2026, without prejudice to its publication in the Official Journal." (…)"It should be noted that, with respect to Amendment 3 to Ecuadorian Technical Regulation RTE INEN No. 142, "Cocks and valves for domestic use", Ecuador has followed all the transparency and notification guidelines determined by the WTO.__________</t>
  </si>
  <si>
    <t>8481.80.10 ;</t>
  </si>
  <si>
    <t>848180 - Appliances for pipes, boiler shells, tanks, vats or the like (excl. pressure-reducing valves, valves for the control of pneumatic power transmission, check "non-return" valves and safety or relief valves); 848180 - Appliances for pipes, boiler shells, tanks, vats or the like (excl. pressure-reducing valves, valves for the control of pneumatic power transmission, check "nonreturn" valves and safety or relief valves)</t>
  </si>
  <si>
    <t>23.060 - Valves; 23.060 - Valves</t>
  </si>
  <si>
    <t>Este reglamento técnico establece los requisitos, que deben cumplir las llaves o válvulas para uso domiciliario, a fin de prevenir los riesgos para  la seguridad y la vida de las personas, el medio ambiente y  evitar prácticas engañosas  que puedan inducir a error a los usuarios.Este reglamento técnico se aplica a  las  llaves o válvulas para uso domiciliario,  utilizadas como llaves de salida, de paso y mezcladoras, así como a las llaves de tipos similares construidas con componentes metálicos y/o plásticos, que se comercialice en el Ecuador, sean de fabricación nacional o importada.</t>
  </si>
  <si>
    <r>
      <rPr>
        <sz val="11"/>
        <rFont val="Calibri"/>
      </rPr>
      <t>https://members.wto.org/crnattachments/2026/TBT/ECU/modification/26_01375_00_s.pdf
https://members.wto.org/crnattachments/2026/TBT/ECU/modification/26_01375_01_s.pdf</t>
    </r>
  </si>
  <si>
    <t>Legal Inspection Requirements for Changing Units for Domestic Use </t>
  </si>
  <si>
    <t>The purpose of this notification is to provide the final texts of "Legal Inspection Requirements for Changing Units for Domestic Use" and relevant dates of its implementation. The draft texts notified in "G/TBT/N/TPKM/584" were adopted with a minor change, namely that the originally proposed implementation date of 1 July 2026 is extended to 1 July 2027.</t>
  </si>
  <si>
    <t>Changing Units for Domestic Use.(HS code(s): 9403)</t>
  </si>
  <si>
    <r>
      <rPr>
        <sz val="11"/>
        <rFont val="Calibri"/>
      </rPr>
      <t>https://members.wto.org/crnattachments/2026/TBT/TPKM/final_measure/26_01381_00_e.pdf
https://members.wto.org/crnattachments/2026/TBT/TPKM/final_measure/26_01381_00_x.pdf</t>
    </r>
  </si>
  <si>
    <t>Panama</t>
  </si>
  <si>
    <t>Reglamento Técnico - Tecnología de los alimentos. Agua envasada. Requisitos generales. (Technical Regulations: Food Technology. Packaged water. General requirements.)</t>
  </si>
  <si>
    <t>The notified Technical Regulations establish physico-chemical, microbiological, organoleptic and radiological requirements, as well as sanitary conditions, to ensure the safety and quality of packaged water intended for human consumption in the Republic of Panama.</t>
  </si>
  <si>
    <t>Non-alcoholic beverages (ICS code: 67.160.20)</t>
  </si>
  <si>
    <t>67.160.20 - Non-alcoholic beverages</t>
  </si>
  <si>
    <r>
      <rPr>
        <sz val="11"/>
        <rFont val="Calibri"/>
      </rPr>
      <t>https://members.wto.org/crnattachments/2026/SPS/PAN/26_01376_00_s.pdf</t>
    </r>
  </si>
  <si>
    <t>Draft Commission Regulation (EU) amending Regulation (EU) 2023/915 as regards maximum levels of mineral oil aromatic hydrocarbons in food (Text with EEA relevance)</t>
  </si>
  <si>
    <t>The draft Regulation establishes maximum levels for mineral oil aromatic hydrocarbons in tree nuts, vegetables, seaweed, pulses, oilseeds, cereals, cocoa and chocolate products, food for oilseeds, oil fruits, animal and vegetable fats and oils, tree nuts, pulses, cereal grains and products derived from cereals, milk, dairy products, cocoa beans and cocoa products, spices, dried herbs, tea and herbal infusions, foods for infants and young children, food supplements and food additives. Taking into account the outcome of the EFSA updated risk assessment of mineral oil hydrocarbons in food, the maximum levels for mineral oil aromatic hydrocarbons are established to ensure a high level of human health protection.</t>
  </si>
  <si>
    <t>Oilseeds, oil fruits, animal and vegetable fats and oils, tree nuts, pulses, cereal grains and products derived from cereals, milk, dairy products, cocoa beans and cocoa products, confectionary, spices, dried herbs, tea and herbal infusions, foods for infants and young children, food supplements and food additives</t>
  </si>
  <si>
    <t>Estimated September 2026.</t>
  </si>
  <si>
    <t>This Regulation shall enter into force on the twentieth day following that of its publication in the Official Journal of the European Union. It shall apply from 1 January 2027. The foodstuffs listed in the Annex, lawfully placed on the market before the entry into force of this Regulation, may remain on the market until the date of minimum durability or use-by-date.</t>
  </si>
  <si>
    <r>
      <rPr>
        <sz val="11"/>
        <rFont val="Calibri"/>
      </rPr>
      <t>https://members.wto.org/crnattachments/2026/SPS/EEC/26_01382_00_e.pdf
https://members.wto.org/crnattachments/2026/SPS/EEC/26_01382_01_e.pdf</t>
    </r>
  </si>
  <si>
    <t>Mexico</t>
  </si>
  <si>
    <t>Propuesta de requisitos fitosanitarios para importación a México de semilla de pepino (Cucumis sativus) para siembra, originaria y procedente de Guatemala (Draft phytosanitary requirements for the importation into Mexico of cucumber (Cucumis sativus L.) seeds for sowing, originating in and coming from Guatemala)</t>
  </si>
  <si>
    <t>The notified draft phytosanitary requirements governing the importation into Mexico of cucumber (Cucumis sativus L.) seeds for sowing, originating in and coming from Guatemala, were determined by SENASICA, pursuant to the Agreement on the Application of Sanitary and Phytosanitary Measures.</t>
  </si>
  <si>
    <t>Cucumber (Cucumis sativus L.) seeds for sowing</t>
  </si>
  <si>
    <t>120991 - Vegetable seeds, for sowing</t>
  </si>
  <si>
    <t>Plant protection (SPS); Protect humans from animal/plant pest or disease (SPS); Protect territory from other damage from pests (SPS)</t>
  </si>
  <si>
    <t>Territory protection; Plant health; Plant diseases; Human health</t>
  </si>
  <si>
    <t>Guatemala</t>
  </si>
  <si>
    <r>
      <rPr>
        <sz val="11"/>
        <rFont val="Calibri"/>
      </rPr>
      <t xml:space="preserve">https://members.wto.org/crnattachments/2026/SPS/MEX/26_01379_00_s.pdf
https://www.gob.mx/senasica/documentos/consulta-publica-de-requisitos-fitosanitarios
</t>
    </r>
  </si>
  <si>
    <t>G/SPS/N/MEX/464- 2 -</t>
  </si>
  <si>
    <t>THE HANDLOOM MARK STANDARDS (LABELLING AND DISPLAY) REGULATIONS, 2025</t>
  </si>
  <si>
    <t>The "Draft - The Handloom Mark Standards (Labelling and Display) Regulations, 2025" is a draft regulatory framework proposed to be issued under Section 23 of the Textiles Committee Act, 1963 under Ministry of Textiles and aligned with the certification trade mark provisions of the Trade Marks Act, 1999. This Regulation intended for governing the use, labelling, display, monitoring, and enforcement of the Handloom Mark in India. The document establishes a comprehensive legal and administrative mechanism to regulate authenticity claims relating to handloom products.</t>
  </si>
  <si>
    <t>HSN 50, 51, 52, 53, 54, 55, 57, 58, 59, 62, 63</t>
  </si>
  <si>
    <t>50 - SILK; 51 - WOOL, FINE OR COARSE ANIMAL HAIR; HORSEHAIR YARN AND WOVEN FABRIC; 52 - COTTON; 53 - OTHER VEGETABLE TEXTILE FIBRES; PAPER YARN AND WOVEN FABRICS OF PAPER YARN; 54 - MAN-MADE FILAMENTS; STRIP AND THE LIKE OF MAN-MADE TEXTILE MATERIALS; 55 - MAN-MADE STAPLE FIBRES; 57 - CARPETS AND OTHER TEXTILE FLOOR COVERINGS; 58 - SPECIAL WOVEN FABRICS; TUFTED TEXTILE FABRICS; LACE; TAPESTRIES; TRIMMINGS; EMBROIDERY; 59 - IMPREGNATED, COATED, COVERED OR LAMINATED TEXTILE FABRICS; TEXTILE ARTICLES OF A KIND SUITABLE FOR INDUSTRIAL USE; 62 - ARTICLES OF APPAREL AND CLOTHING ACCESSORIES, NOT KNITTED OR CROCHETED; 63 - OTHER MADE-UP TEXTILE ARTICLES; SETS; WORN CLOTHING AND WORN TEXTILE ARTICLES; RAGS</t>
  </si>
  <si>
    <t>59.080.30 - Textile fabrics</t>
  </si>
  <si>
    <t>Promote handloom products in domestic and international markets Provide assurance to the consumers about the authenticity of Handloom Product. Improve domestic and international marketing linkages to the handloom weavers. Strengthen supply chain for Handloom products. Improve price realization of the Handloom products in domestic and international market. Improve the earnings of the Handloom weaver community. Facilitate uninterrupted workflow throughout the year to the Handloom weavers. Develop a database of Handloom suppliers and weavers.</t>
  </si>
  <si>
    <r>
      <rPr>
        <sz val="11"/>
        <rFont val="Calibri"/>
      </rPr>
      <t>https://members.wto.org/crnattachments/2026/TBT/IND/26_01372_00_e.pdf</t>
    </r>
  </si>
  <si>
    <t>Legal Inspection Requirements for Infant Swings</t>
  </si>
  <si>
    <t>The purpose of this notification is to provide the final texts of "Legal Inspection Requirements for Infant Swings" and relevant dates of its implementation. The draft texts notified in "G/TBT/N/TPKM/581" were adopted with a minor change, namely that the originally proposed implementation date of 1 July 2026 is extended to 1 July 2027.</t>
  </si>
  <si>
    <t>Infant swings(HS code(s): 9401)</t>
  </si>
  <si>
    <t>97.200.40 - Playgrounds; 97.200.40 - Playgrounds</t>
  </si>
  <si>
    <r>
      <rPr>
        <sz val="11"/>
        <rFont val="Calibri"/>
      </rPr>
      <t>https://members.wto.org/crnattachments/2026/TBT/TPKM/final_measure/26_01380_00_e.pdf
https://members.wto.org/crnattachments/2026/TBT/TPKM/final_measure/26_01380_00_x.pdf</t>
    </r>
  </si>
  <si>
    <t>AFDC 12 (4153) DTZS, Sugar free carbonated soft drinks –specification, First edition </t>
  </si>
  <si>
    <t>This Tanzania Standard specifies the requirements and methods of sampling and testing for sugar free carbonated soft drinks of which only non-nutritive sweeteners are used as sweetening agent.Note: This Draft Tanzania Standard was also notified under SPS committee.</t>
  </si>
  <si>
    <t>Non-alcoholic beverages (excl. water, fruit or vegetable juices, milk and beer) (HS code(s): 220299); Non-alcoholic beverages (ICS code(s): 67.160.20)</t>
  </si>
  <si>
    <t>220299 - Non-alcoholic beverages (excl. water, fruit or vegetable juices, milk and beer)</t>
  </si>
  <si>
    <r>
      <rPr>
        <sz val="11"/>
        <rFont val="Calibri"/>
      </rPr>
      <t>https://members.wto.org/crnattachments/2026/TBT/TZA/26_01352_00_e.pdf</t>
    </r>
  </si>
  <si>
    <t>CXS 192 General standard for Food additivesCAC/GL 66-2008 Guidelines for the Use of FlavouringsTZS 4, Rounding off numerical valuesTZS 59, Water Distilled Quality SpecificationTZS 109, Code of hygiene for food processing unitsTZS 114, Soft drink manufacturing units – Code of hygieneTZS 118, Foodstuffs – General Guidance for the Enumeration of microorganisms by Colony Count Technique at 30CTZS 119, Microbiology – General guidance for the enumeration of coliforms by Most probable number techniqueTZS 131, Microbiology - General guidance for enumeration of yeast and mould by Colony count technique at 25C.TZS 132, Edible common salt SpecificationTZS 163, Processed fruits and vegetable products – Methods of samplingTZS 268, General atomic absorption spectrophotometric method for determination of lead in food stuffsTZS 538, Packaging, marking and labelling of foodsTZS 789, Potable (Drinking) water SpecificationTZS 1488, Fruits and Vegetables – Determination of Titratable AcidityTZS 1491, Fruits and Vegetables – Determination of pHTZS 1492, Fruits and Vegetables – Determination of tin contentTZS 1493, Fruits and Vegetables – Determination of iron contentTZS 1494, Fruits and vegetables determination of benzoic acidTZS 1495, Fruits and Vegetables – Determination of copper contentTZS 1496, Fruits and Vegetables – Determination of soluble solidsTZS 1497, Fruits and Vegetables – Determination of sulphur dioxideTZS 1500, Fruits and Vegetables – Determination of zinc contentTZS 1501, Fruits, vegetables and derived products – Determination of mercury content – Flameless atomic absorption methodTZS 1502, Fruits and Vegetables – Determination of Arsenic contentTZS 1504, Fruits and Vegetables – Determination of Ethanol ContentTZS 1581-1, Determination of cadmium content – Method graphite furnace atomic absorption spectrometry</t>
  </si>
  <si>
    <t>AFDC 12 (4152) DTZS, Dried vegetables and herbs for food use — Specification, First Edition</t>
  </si>
  <si>
    <t>This Tanzania standard specifies requirements and methods of sampling and test for dried vegetables and herbs for food use, offered for direct human consumption or further processing._x000D_
This standard does not apply to vegetables powder/flour and herbs for which specific standards have been declared.Note: This Draft Tanzania Standard was also notified under TBT Committee.</t>
  </si>
  <si>
    <t>Dried vegetables and mixtures of vegetables, whole, cut, sliced, broken or in powder, but not further prepared (excl. onions, mushrooms and truffles, not mixed) (HS code(s): 071290); Vegetables and derived products (ICS code(s): 67.080.20)</t>
  </si>
  <si>
    <t>071290 - Dried vegetables and mixtures of vegetables, whole, cut, sliced, broken or in powder, but not further prepared (excl. onions, mushrooms and truffles, not mixed)</t>
  </si>
  <si>
    <t>67.080.20 - Vegetables and derived products</t>
  </si>
  <si>
    <r>
      <rPr>
        <sz val="11"/>
        <rFont val="Calibri"/>
      </rPr>
      <t>https://members.wto.org/crnattachments/2026/SPS/TZA/26_01361_00_e.pdf</t>
    </r>
  </si>
  <si>
    <t>Resolución No. 00002655 del 6 de marzo de 2026, "Por medio de la cual se actualizan los requisitos fitosanitarios para la importación a Colombia de esquejes de clavel con raíz – plantas (Dianthus L.) de origen y procedencia de la República Federal de Alemania para uso comercial, ensayo y/o siembra" (Resolution No. 00002655 of 6 March 2026 updating the phytosanitary requirements for the importation into Colombia of rooted carnation cuttings - plants (Dianthus L.) originating in and coming from the Federal Republic of Germany for commercial use, testing and sowing)The Republic of Colombia hereby notifies the issuance of Resolution No. 00002655 of 6 March 2026 updating the phytosanitary requirements for the importation into Colombia of rooted carnation cuttings - plants (Dianthus L.) originating in and coming from the Federal Republic of Germany for commercial use, testing and sowing. The Resolution updates the phytosanitary requirements for the importation into Colombia of rooted carnation cuttings - plants (Dianthus L.) originating in and coming from the Federal Republic of Germany for commercial use, testing and sowing, and applies to all natural or legal persons importing these products.The Resolution was published in Official Journal No. 53.422 of 9 March 2026 and entered into force the same day.https://www.ica.gov.co/getattachment/a4b3e458-5ab3-41f8-ab3c-bf4b18f2b2b3/2026R00002655.aspxhttps://members.wto.org/crnattachments/2026/SPS/COL/26_01373_00_s.pdf</t>
  </si>
  <si>
    <t>Rooted carnation cuttings - plants (Dianthus L.) (HS code: 060290)</t>
  </si>
  <si>
    <t>060290 - Live plants, incl. their roots, and mushroom spawn (excl. bulbs, tubers, tuberous roots, corms, crowns and rhizomes, incl. chicory plants and roots, unrooted cuttings and slips, fruit and nut trees, rhododendrons, azaleas and roses); 060290 - Live plants, incl. their roots, and mushroom spawn (excl. bulbs, tubers, tuberous roots, corms, crowns and rhizomes, incl. chicory plants and roots, unrooted cuttings and slips, fruit and nut trees, rhododendrons, azaleas and roses)</t>
  </si>
  <si>
    <t>Pest- or Disease- free Regions / Regionalization; Plant health; Adoption/publication/entry into force of reg.; Plant health; Pest- or Disease- free Regions / Regionalization</t>
  </si>
  <si>
    <r>
      <rPr>
        <sz val="11"/>
        <rFont val="Calibri"/>
      </rPr>
      <t>https://members.wto.org/crnattachments/2026/SPS/COL/26_01373_00_s.pdf
https://www.ica.gov.co/getattachment/a4b3e458-5ab3-41f8-ab3c-bf4b18f2b2b3/2026R00002655.aspx</t>
    </r>
  </si>
  <si>
    <t>AFDC6 (3986) DTZS, Bio fortified bean flour - Specification, First Edition</t>
  </si>
  <si>
    <t>This Tanzania Standard specifies requirements, sampling and test methods for bio fortified bean flour obtained from bio fortified beans (Phaseolus vulgaris L.) intended for human consumption.Note: This Draft Tanzania Standard was also notified under TBT Committee.</t>
  </si>
  <si>
    <t>Flour, meal and powder of peas, beans, lentils and the other dried leguminous vegetables of heading 0713 (HS code(s): 110610); Processes in the food industry (ICS code(s): 67.020)</t>
  </si>
  <si>
    <t>110610 - Flour, meal and powder of peas, beans, lentils and the other dried leguminous vegetables of heading 0713</t>
  </si>
  <si>
    <t>67.020 - Processes in the food industry</t>
  </si>
  <si>
    <r>
      <rPr>
        <sz val="11"/>
        <rFont val="Calibri"/>
      </rPr>
      <t>https://members.wto.org/crnattachments/2026/SPS/TZA/26_01369_00_e.pdf</t>
    </r>
  </si>
  <si>
    <t>AFDC 19 (3891) DTZS. Pumpkin seeds — Specification, First Edition</t>
  </si>
  <si>
    <t>This Tanzania Standard specifies requirements, sampling and test methods for seeds obtained from pumpkin (Cucurbita pepo L.) intended for human consumption._x000D_
This standard applies to raw and roasted pumpkin seeds which may be hulled (green pepitas) or unhulled (white shell).Note: This Draft Tanzania Standard was also notified under TBT Committee.</t>
  </si>
  <si>
    <t>Other: (HS code(s): 12024); Food technology (ICS code(s): 67)</t>
  </si>
  <si>
    <t>12024 - - Other:; 120991 - Vegetable seeds, for sowing</t>
  </si>
  <si>
    <t>67 - Food technology</t>
  </si>
  <si>
    <r>
      <rPr>
        <sz val="11"/>
        <rFont val="Calibri"/>
      </rPr>
      <t>https://members.wto.org/crnattachments/2026/SPS/TZA/26_01360_00_e.pdf</t>
    </r>
  </si>
  <si>
    <t>Resolución Exenta No 1462/2026 que "Exime del requisito de cuarentena de post ingreso en Chile a los animales que se indican, y modifica las resoluciones No 5066/2018, 54/1999, 809/2003, 692/2019 y 436/2020" (Exempt Resolution No. 1462/2026 exempting certain animals from the requirement for post-entry quarantine in Chile and amending Resolutions No. 5066/2018, No. 54/1999, No. 809/2003, No. 692/2019 and No. 436/2020)Chile hereby advises that Exempt Resolution No. 1462/2026 exempting certain animals from the requirement for post-entry quarantine in Chile and amending Resolutions No. 5066/2018, No. 54/1999, No. 809/2003, No. 692/2019 and No. 436/2020, was published in the Official Journal on 9 March 2026 and will enter into force 30 days from that date.https://members.wto.org/crnattachments/2026/SPS/CHL/26_01371_00_s.pdf</t>
  </si>
  <si>
    <t>Certain animal species (dogs, cats, ferrets, amphibians, reptiles, animals of the order Rodentia, hedgehogs and rabbits)</t>
  </si>
  <si>
    <t>010614 - Live rabbits and hares; 010619 - Live mammals (excl. primates, whales, dolphins and porpoises, manatees and dugongs, seals, sea lions and walruses, camels and other camelids, rabbits and hares, horses, asses, mules, hinnies, bovines, pigs, sheep and goats); 010620 - Live reptiles "e.g. snakes, turtles, alligators, caymans, iguanas, gavials and lizards"; 010614 - Live rabbits and hares; 010619 - Live mammals (excl. primates, whales, dolphins and porpoises, manatees and dugongs, seals, sea lions and walruses, camels and other camelids, rabbits and hares, horses, asses, mules, hinnies, bovines, pigs, sheep and goats); 010620 - Live reptiles "e.g. snakes, turtles, alligators, caymans, iguanas, gavials and lizards"</t>
  </si>
  <si>
    <t>Animal health; Animal diseases; Adoption/publication/entry into force of reg.; Animal diseases; Animal health</t>
  </si>
  <si>
    <r>
      <rPr>
        <sz val="11"/>
        <rFont val="Calibri"/>
      </rPr>
      <t>https://members.wto.org/crnattachments/2026/SPS/CHL/26_01371_00_s.pdf</t>
    </r>
  </si>
  <si>
    <t>AFDC 12 (4154) DTZS, Artificially sweetened flavoured drink in solid form — Specification, Second Edition</t>
  </si>
  <si>
    <t>This Tanzania Standard specifies requirements, methods of sampling and test for artificially sweetened flavoured drinks in solid form intended for human consumption for people on diet as a ready to drink beverage after reconstitution with potable water.Note: This Draft Tanzania Standard was also notified under TBT Committee.</t>
  </si>
  <si>
    <r>
      <rPr>
        <sz val="11"/>
        <rFont val="Calibri"/>
      </rPr>
      <t>https://members.wto.org/crnattachments/2026/SPS/TZA/26_01363_00_e.pdf</t>
    </r>
  </si>
  <si>
    <t>AFDC 12 (4182) DTZS, Ginger drink — Specification, Second edition </t>
  </si>
  <si>
    <t>This Tanzania standard specifies requirements, method of sampling and testing for non-alcoholic ginger drink for direct human consumptionNote: This Draft Tanzania Standard was also notified under SPS committee.</t>
  </si>
  <si>
    <r>
      <rPr>
        <sz val="11"/>
        <rFont val="Calibri"/>
      </rPr>
      <t>https://members.wto.org/crnattachments/2026/TBT/TZA/26_01358_00_e.pdf</t>
    </r>
  </si>
  <si>
    <t>CXG 66, Guidelines for the use of flavouringsCXS 192, General Standard for food additivesCXS 193, General Standard for Contaminants and Toxins in Food and FeedTZS 109, Food processing and manufacturing units -Code of hygiene -GeneralTZS 118, Microbiology of food and animal feeding stuffs - Horizontal method for the enumeration of microorganisms - Colony-count technique at 30 oCTZS 119, Microbiology of food and animal feeding stuffs - Horizontal method for detection and enumeration of coliforms - Most probable number techniqueTZS 122, Microbiology of food and feeding stuffs - Horizontal method for the detection of salmonella sppTZS 125, Microbiology of food and animal feeding stuffs - Horizontal method for the enumeration of coagulase-positive staphylococci (Staphylococcus aureus and other species) - Part 2: Technique using rabbit plasma fibrinogen agar mediumTZS 131, Microbiology of food and animal feeding stuff - General guidance for enumeration of yeasts and moulds - Colony count technique at 25 oCTZS 163, Fresh fruits and vegetables - samplingTZS 268, General atomic absorption spectrophotometric method for determination of lead in food and food stuffsTZS 538, Pre -packaged food labeling - General requirementsTZS 799, Foodstuffs -Determination of aflatoxin B1, and the total content of aflatoxins B1, B2, G1 and G2 in cereals, nuts and derived products - High-performance liquid chromatographic methodTZS 1488, Fruits, vegetables and derived products –Determination of titratable acidityTZS 1491, Fruits, vegetables and derived products –Determination of pHTZS 1496, Fruits, vegetables and derived products –Determination of soluble solidsTZS 1504, Fruits and vegetable products – Determination of ethanol contentTZS 1581-1, Fruits, vegetables and derived products - Determination of cadmium content - Part 1: Method using graphite furnace atomic absorption spectrometry</t>
  </si>
  <si>
    <t>AFDC 12 (4155) DTZS,Amaranth flour — Specification, Third edition </t>
  </si>
  <si>
    <t>This Tanzania Standard specifies the requirements, methods of sampling and testing for amaranth flour milled from grains of the amaranth intended for human consumption.Note: This Draft Tanzania Standard was also notified under SPS committee.</t>
  </si>
  <si>
    <t>Dried vegetables, whole, cut, sliced, broken or in powder, but not further prepared (HS code(s): 0712); Vegetables and derived products (ICS code(s): 67.080.20)</t>
  </si>
  <si>
    <t>0712 - Dried vegetables, whole, cut, sliced, broken or in powder, but not further prepared</t>
  </si>
  <si>
    <r>
      <rPr>
        <sz val="11"/>
        <rFont val="Calibri"/>
      </rPr>
      <t>https://members.wto.org/crnattachments/2026/TBT/TZA/26_01354_00_e.pdf</t>
    </r>
  </si>
  <si>
    <t>CXS 192, General standard for food additivesCXS 193, General standard for contaminants in foodTZS 4, Rounding off numerical valuesTZS 109, Code of hygiene for food processing units — GeneralTZS 118, Method of plate count of bacteria in foodstuffsTZS 122, Foodstuffs — Microbiological examination for salmonellaeTZS 131, Foodstuffs — Method for yeast and moulds countTZS 268, General atomic absorption spectrophotometric method for determination of lead in food stuffsTZS 330, Cereals — Sampling of milled productsTZS 331, Cereals — Methods of test for milled productsTZS 538, Packaging and labeling of foodsTZS 730-2/ISO 16649-2, Microbiology of food and animal feeding stuffs ― Horizontal method for the enumeration of -b-glucuronidase-positive Escheria coli ― Part 2: Colony- count technique at 44 ºC using 5-bromo-4-chloro-3-indolyl-b-D-glucuronideTZS 799, Foodstuffs -Determination of aflatoxin B1, and the total content of aflatoxins B1, B2, G1 and G2 in cereals, nuts and derived products - High-performance liquid chromatographic methodTZS 963 -2 :2007, Starch and derived products – Heavy metals content – Part 2 – Determination of mercury content by atomic absorption spectrophotometric methodTZS 1492, Fruits and vegetables — Determination of tin contentTZS 1502, Fruits and vegetables — Determination of arsenic content.</t>
  </si>
  <si>
    <t>AFDC 12 (4153) DTZS, Sugar free carbonated soft drinks – Specification, First Edition</t>
  </si>
  <si>
    <t>This Tanzania Standard specifies the requirements and methods of sampling and testing for sugar free carbonated soft drinks of which only non-nutritive sweeteners are used as sweetening agent.Note: This Draft Tanzania Standard was also notified under TBT Committee.</t>
  </si>
  <si>
    <r>
      <rPr>
        <sz val="11"/>
        <rFont val="Calibri"/>
      </rPr>
      <t>https://members.wto.org/crnattachments/2026/SPS/TZA/26_01362_00_e.pdf</t>
    </r>
  </si>
  <si>
    <t>AFDC 12 (4156) DTZS, Tamarind (ukwaju) pulp – Specification, Second Edition</t>
  </si>
  <si>
    <t>This Tanzania standard specifies the requirements, methods of sampling and testing for tamarind pulp, obtained from the mature fruits of Tamarindus indica intended for human consumption.Note: This Draft Tanzania Standard was also notified under TBT Committee.</t>
  </si>
  <si>
    <t>220299 - Non-alcoholic beverages (excl. water, fruit or vegetable juices, milk and beer); 081340 - Dried peaches, pears, papaws "papayas", tamarinds and other edible fruits (excl. nuts, bananas, dates, figs, pineapples, avocados, guavas, mangoes, mangosteens, citrus fruit, grapes apricots, prunes and apples, unmixed)</t>
  </si>
  <si>
    <r>
      <rPr>
        <sz val="11"/>
        <rFont val="Calibri"/>
      </rPr>
      <t>https://members.wto.org/crnattachments/2026/SPS/TZA/26_01366_00_e.pdf</t>
    </r>
  </si>
  <si>
    <t>AFDC6 (3986) DTZS, Biofortified bean flour - Specification, First edition </t>
  </si>
  <si>
    <t>This Tanzania Standard specifies requirements, sampling and test methods for bio fortified bean flour obtained from biofortified beans (Phaseolus vulgaris L.) intended for human consumption.Note: This Draft Tanzania Standard was also notified under SPS committee.</t>
  </si>
  <si>
    <r>
      <rPr>
        <sz val="11"/>
        <rFont val="Calibri"/>
      </rPr>
      <t>https://members.wto.org/crnattachments/2026/TBT/TZA/26_01359_00_e.pdf</t>
    </r>
  </si>
  <si>
    <t>TZS 109, Hygiene in the food and drink manufacturing industry — Code of practiceTZS 122-2, Microbiology of food and animal feed - Horizontal method for the detection, enumeration and serotyping of Salmonella - Part 2: Enumeration by a miniaturized most probable number techniqueTZS 125-1, Microbiology of the food chain - Horizontal method for the enumeration of coagulase-positive staphylococci (Staphylococcus aureus and other species) - Part 1: Method using Baird-Parker agar mediumTZS 330, Cereal, Pulses and their products - SamplingTZS 331, Cereal, Pulses and their products - TestingTZS 481, Nutrition labelling — RequirementsTZS 482, Claims on foods ― General requirementsTZS 550, Use of nutrition and health claims ― RequirementsTZS 538, Labeling of pre-packaged food – RequirementsTZS 729, Microbiology of food and animal feeding stuffs -Horizontal method for the enumeration of coliforms - Colony count techniqueTZS 731, Microbiology of food and feeding-stuffs - Horizontal method for the detection and enumeration of presumptive Escherichia Coli - Most Probable Number TechniqueTZS 963-3, Starch and derived products – Heavy metals content – Part 3 – Determination of lead content by atomic absorption spectrometry with electro-thermal atomizationTZS 963-4, Starch and derived products – Heavy metals content – Part 4 – Determination of cadmium content by atomic absorption spectrometry with electro-thermal atomizationTZS 2426, Microbiology of food and animal feedstuffs — Horizontal method for the enumeration of yeasts and moulds — Part 2: Colony count technique in products with water activity less than or equal to 0.95TZS 2564, Bio fortified beans – SpecificationTZS/ISO 21424, milk products, infant formula and adult nutritional’s — Determination of minerals and trace elements — Inductively coupled plasma mass spectrometry (ICP-MS) method</t>
  </si>
  <si>
    <t>AFDC 12 (4154) DTZS, Artificially sweetened flavoured drink in solid form —Specification, Second edition </t>
  </si>
  <si>
    <t>This Tanzania Standard specifies requirements, methods of sampling and test for artificially sweetened flavoured drinks in solid form intended for human consumption for people on diet as a ready to drink beverage after reconstitution with potable waterNote: This Draft Tanzania Standard was also notified under SPS committee.</t>
  </si>
  <si>
    <r>
      <rPr>
        <sz val="11"/>
        <rFont val="Calibri"/>
      </rPr>
      <t>https://members.wto.org/crnattachments/2026/TBT/TZA/26_01353_00_e.pdf</t>
    </r>
  </si>
  <si>
    <t>CXS 192, Permitted food additivesTZS 4, Rounding off numerical valuesTZS 114, Soft drink manufacturing units — Code of hygieneTZS 118, Microbiology of food and animal feeding stuffs — Horizontal method for the enumeration of microorganisms — Colony-count technique at 30 °CTZS 119, Microbiology of food and animal feeding stuffs — Horizontal method for detection and enumeration of coliforms — Most probable number techniqueTZS 122, Microbiology of food and feeding stuffs - Horizontal method for the detection of salmonella spp.TZS 125-2, Microbiology of food and animal feeding stuffs — Horizontal method for the enumeration of coagulase-positive staphylococci (Staphylococcus aureus and other species) – Part 2: Technique using rabbit plasma fibrinogen agar mediumTZS 131, Microbiology of food and animal feeding stuff - General guidance for enumeration of yeasts and moulds - Colony count technique at 25oCTZS 268, General atomic absorption spectrophotometric method for determination of lead in food and food stuffsTZS 538, General standard on packaging, marking and labelingTZS 585, Ready to drink non-carbonated non-alcoholic beverage - SpecificationTZS 789, Drinking (potable) water — SpecificationTZS 1318, Spices and condiments — Determination of moisture content — Entrainment methodTZS 1491, Fruits and Vegetables — Determination of PhTZS 1492 / ISO 2447, Fruit and vegetable products —Determination of tin contentTZS 1502, Fruits, vegetables and derived products — Determination of arsenic content \-Silver diethyldithocarbamate spectrophotometric methodTZS 2616, Foodstuffs-Determination of mercury by flameless atomic absorption spectrophotometric method</t>
  </si>
  <si>
    <t>AFDC 12 (4152) DTZS,Dried vegetables and herbs for food use — Specification, First edition </t>
  </si>
  <si>
    <t>This Tanzania standard specifies requirements and methods of sampling and test for dried vegetables and herbs for food use, offered for direct human consumption or further processing._x000D_
This standard does not apply to vegetables powder/flour and herbs for which specific standards have been declaredNote: This Draft Tanzania Standard was also notified under SPS committee.</t>
  </si>
  <si>
    <t>(HS code(s): 071290); Vegetables and derived products (ICS code(s): 67.080.20)</t>
  </si>
  <si>
    <r>
      <rPr>
        <sz val="11"/>
        <rFont val="Calibri"/>
      </rPr>
      <t>https://members.wto.org/crnattachments/2026/TBT/TZA/26_01351_00_e.pdf</t>
    </r>
  </si>
  <si>
    <t>CXS 192, General Standard for Food AdditivesCXS 193, General Standard for Contaminants and Toxins in Food and FeedTZS 4, Rounding off numerical valuesTZS 109, Food processing and manufacturing units -Code of hygiene -GeneralTZS 118/ISO 4833-1, Microbiology of food and animal feeding stuffs – Horizontal method for the enumeration of microorganisms – Colony-count technique at 30O CTZS 119/ ISO 4831, Microbiology of food and animal feeding stuffs – Horizontal method for detection and enumeration of coliforms – Most probable number techniqueTZS 122-2, Microbiology of food and animal feed - Horizontal method for the detection, enumeration and serotyping of Salmonella - Part 2: Enumeration by a miniaturized most probable number techniqueTZS 125-1, Microbiology of food and animal feeding stuffs – Horizontal method for the enumeration of coagulase-positive staphylococci (Staphylococcus aureus and other species) – Part 1: Colony Count Technique usingTZS 131, Microbiology of food and animal feeding stuff - General guidance for enumeration of yeasts and moulds - Colony count technique at 25 oCTZS 163, Processed fruits and vegetable products – Method of sampling and testTZS 538, Pre -packaged food Labeling - General requirementsTZS 730-2, Microbiology of food and animal feeding stuffs – Horizontal method for the enumeration of -b-glucuronidase-positive Escherichia coli – Part 2 – Colony-count technique at 44 0C using 5-bromo-4-chloro-3-indolyl-b-D-glucuronideTZS 1166, Tea - Determination of crude fibre contentTZS 1317/ISO 930, Spices and condiments- Determination of acid insoluble ashTZS 1318/ISO 939, Spices and condiments- Determination of moisture content Entrainment methodTZS 799, Foodstuffs -Determination of aflatoxin B1, and the total content of aflatoxins B1, B2, G1 and G2 in cereals, nuts and derived products - High-performance liquid chromatographic method</t>
  </si>
  <si>
    <t>AFDC 19 (3891) DTZS,Pumpkin seeds — Specification, First edition</t>
  </si>
  <si>
    <t>This Tanzania Standard specifies requirements, sampling and test methods for seeds obtained from pumpkin (Cucurbita pepo L.) intended for human consumption._x000D_
This standard applies to raw and roasted pumpkin seeds which may be hulled (green pepitas) or unhulled (white shell)Note: This Draft Tanzania Standard was also notified under SPS committee.</t>
  </si>
  <si>
    <t>- Other: (HS code(s): 10019); Food technology (ICS code(s): 67)</t>
  </si>
  <si>
    <t>10019 - - Other:; 120991 - Vegetable seeds, for sowing</t>
  </si>
  <si>
    <r>
      <rPr>
        <sz val="11"/>
        <rFont val="Calibri"/>
      </rPr>
      <t>https://members.wto.org/crnattachments/2026/TBT/TZA/26_01350_00_e.pdf</t>
    </r>
  </si>
  <si>
    <t>CXS 192, General standard for food additivesCXS 193, General Standard for Contaminants and toxins in food and feedTZS 4, Rounding off numerical valuesTZS 109, Food processing units – Code of hygiene – GeneralTZS 538, Packaging and labeling of foodsTZS 742, Oleaginous seeds – SamplingTZS 799, Foodstuffs – Determination of aflatoxin B1, and the total content of aflatoxins B1,B2, G1 and G2 in cereals, nuts and derived products – High-performance liquid chromatographic methodTZS 1314 – 1, Oilseeds – Determination of content of impuritiesTZS 1314 – 2, Oilseeds – Determination of moisture and volatile matter contentTZS 1314 – 3, Oilseeds – Determination of oil content (Reference method)TZS 1314 – 4, Oilseeds – Determination of acidity of oilsTZS 122-1 /ISO 6579-1, Microbiology of the food chain — Horizontal method for the detection, enumeration and serotyping of Salmonella- Part 1: Detection of Salmonella sppTZS 730-2 /ISO 16649-2, Microbiology of food and animal feeding stuffs – Horizontal method for the enumeration of -b-glucuronidase-positive Escherichia coli – Part 2 – Colony-count technique at 44 0C using 5-bromo-4-chloro-3-indolyl-b-D-glucuronideTZS 2426-2/ISO 21527-2, Microbiology of food and animal feeding stuffs - Horizontal method for the enumeration of yeasts and moulds - Part 2: Colony count technique in products with water activity less than or equal to 0.95TZS 125-2, Microbiology of food and animal feeding stuffs - Horizontal method for the enumeration of coagulase-positive staphylococci (Staphylococcus aureus and other species) - Part 2: Technique using rabbit plasma fibrinogen agar medium</t>
  </si>
  <si>
    <t>AFDC 12 (4156) DTZS,Tamarind (ukwaju) pulp – Specification, Second edition </t>
  </si>
  <si>
    <t>This Tanzania standard specifies the requirements, methods of sampling and testing for tamarind pulp, obtained from the mature fruits of Tamarindus indica intended for human consumptionNote: This Draft Tanzania Standard was also notified under SPS committee.</t>
  </si>
  <si>
    <r>
      <rPr>
        <sz val="11"/>
        <rFont val="Calibri"/>
      </rPr>
      <t>https://members.wto.org/crnattachments/2026/TBT/TZA/26_01356_00_e.pdf</t>
    </r>
  </si>
  <si>
    <t>CXS 192, General Standard for Food AdditivesTZS 4, Rounding off numerical valuesTZS 33, Spices and condiments - SamplingTZS 109, Code of hygiene for food processing units — GeneralTZS 113, Code of hygienic practices for processed fruits and vegetablesTZS 118, Foodstuffs — General guidance for the Enumeration of microorganisms - Colony count technique at 30 °CTZS 122/ ISO 6579, Microbiology of food and feeding stuffs – Horizontal method for the detection of salmonella sppTZS 125, Microbiology of food and animal feeding stuffs — Horizontal method for enumeration of coagulase positive staphylococcus and other speciesTZS 131, Microbiology — General guidance for enumeration of yeast and mould — Colony count technique at 25 °C 289.TZS 163, Fruits and vegetables — SamplingTZS 268, General atomic absorption spectrophotometric method for determination of lead in food stuffsTZS 538, Packaging and labeling of goodsTZS 729, Microbiology — General guidance for the enumeration of coliforms — Colony count techniqueTZS 730 (Part 2)/ISO 16649 (Part 2), Microbiology of food and animal feeding stuffs – Horizontal method for the enumeration of -b-glucuronidase-positive Escheria coli – Part 2 – Colony-count technique at 44 0C using 5-bromo-4-chloro-3-indolyl-b-D-glucuronideTZS 731/ ISO 7251, Microbiology of food and feeding-stuffs – Horizontal method for the detection and enumeration of presumptive Escherichia Coli – Most Probable Number TechniqueTZS 799/ISO 16050, Foodstuffs – Determination of aflatoxin B1, and the total content of aflatoxins B1, B2, G1 and G2 in cereals, nuts and derived products – High-performance liquid chromatographic methodTZS 963 (Part 2):2007, Starch and derived products – Heavy metals content – Part 2 – Determination of mercury content by atomic absorption spectrometryTZS 1315/ ISO 927, Spice and Condiments - Determination of Extraneous matter and foreign matter contentTZS 1326/ ISO 662, Animal and vegetable fats and oils - Determination of moisture and volatile matter contentTZS 1488/ ISO 750, Fruits, vegetables and derived products – Sampling and methods of test . Part 2: Determination of titratable acidyTZS 1495, Fruits and vegetables — Determination of copper ContentTZS 1502, Fruits and vegetables — Determination of arsenic contentTZS 1503/ ISO 763, Fruit and vegetable products — Determination of ash insoluble inhydrochloric acidTZS 1581-1, Determination of cadmium content – Method graphite furnace atomic absorption spectrometryTZS 1581-2, Determination of cadmium content – Method flame atomic absorption spectrometry</t>
  </si>
  <si>
    <t>AFDC 12 (4158) DTZS, Baobab fruit powder — Specification, First edition </t>
  </si>
  <si>
    <t>This Tanzania standard specifies the requirements, methods of sampling and testing for Baobab fruit powder (Adansonia digitata) intended for human consumption and industrial useNote: This Draft Tanzania Standard was also notified under SPS committee.</t>
  </si>
  <si>
    <r>
      <rPr>
        <sz val="11"/>
        <rFont val="Calibri"/>
      </rPr>
      <t>https://members.wto.org/crnattachments/2026/TBT/TZA/26_01357_00_e.pdf</t>
    </r>
  </si>
  <si>
    <t>CXS 192, General Standard for Food AdditivesTZS 4, Rounding off numerical valuesTZS 109, Code of hygiene for food processing units — GeneralTZS 113, Code of hygienic practices for processed fruits and vegetablesTZS 118, Foodstuffs — General guidance for the Enumeration of microorganisms — Colony count technique at 30 °CTZS 122, Microbiology of food and feeding stuffs – Horizontal method for the detection of salmonella sppTZS 125, Microbiology of food and animal feeding stuffs — Horizontal method for enumeration of coagulase positive staphylococcus and other speciesTZS 131, Microbiology — General guidance for enumeration of yeast and mould — Colony count technique at 25 °CTZS 1316: 2017/ ISO 928:1997 Spices and Condiments - Determination of total ashTZS 1318: 2017/ ISO 939:1980Spice and condiments - Determination of moisture content – entrainment methodTZS 1502, Fruits and vegetables — Determination of arsenic contentTZS 1581-1, Determination of cadmium content – Method graphite furnace atomic absorptionspectrometryTZS 1581-2, Determination of cadmium content – Method flame atomic absorption spectrometryTZS 163, Fruits and vegetables — SamplingTZS 268, General atomic absorption spectrophotometric method for determination of lead in food stuffsTZS 330, Cereals, Pulses and their products - SamplingTZS 538, Packaging and labeling of goodsTZS 729, Microbiology — General guidance for the enumeration of coliforms — Colony count techniqueTZS 731-2 /ISO 7251, Microbiology of food and feeding-stuffs – Horizontal method for the detection and enumeration of presumptive Escherichia Coli – Most Probable Number TechniqueTZS 799, Foodstuffs – Determination of aflatoxin B1, and the total content of aflatoxins B1, B2, G1 and G2 in cereals, nuts and derived products – High\-performance liquid chromatographic methodTZS 963-2, Starch and derived products – Heavy metals content – Part 2 –Determination of mercury content by atomic absorption spectrometry</t>
  </si>
  <si>
    <t>AFDC 12 (4156),Flavoured drink in solid form — Specification, Third edition </t>
  </si>
  <si>
    <t>This Tanzania Standard specifies requirements, sampling and test methods for flavoured drink in solid form containing nutritive sweeteners intended for human consumption as a ready to drink beverage after reconstitution with potable waterNote: This Draft Tanzania Standard was also notified under SPS committee.</t>
  </si>
  <si>
    <r>
      <rPr>
        <sz val="11"/>
        <rFont val="Calibri"/>
      </rPr>
      <t>https://members.wto.org/crnattachments/2026/TBT/TZA/26_01355_00_e.pdf</t>
    </r>
  </si>
  <si>
    <t>CXS 192, General standard for food additivesTZS 4, Rounding off numerical valuesTZS 101, Refined sugar — SpecificationTZS 109, Food processing and manufacturing units -Code of hygiene -GeneralTZS 118, Microbiology of food and animal feeding stuffs — Horizontal method for enumeration of microorganisms-colony-count technique at 30 °CTZS 119, Microbiology of food and animal feeding stuffs — Horizontal method for detection and enumeration of coliforms — Most probable number technique (MPN)TZS 125-2, Microbiology of food and animal feeding stuffs – Horizontal method for the enumeration of coagulase-positive staphylococci (Staphylococcus aureus and other species) – Part 2: Technique using rabbit plasma fibrinogen agar mediumTZS 131, Microbiology of food and animal feeding stuff ― General guidance for enumeration of yeasts and moulds — Colony Count technique at 25 °CTZS 163, Fresh fruits and vegetable products — Methods of sampling and testsTZS 268, General atomic absorption spectrophotometric method for determination of lead in food and food stuffsTZS 538, Labelling of pre-packaged foods — General requirementsTZS 585, Ready to drink non-carbonated non-alcoholic beverage ― SpecificationTZS 789, Potable water — SpecificationTZS 1318, Spices and condiments — Determination of moisture content — Entrainment methodTZS 1491, Fruits and vegetables — Determination of pHTZS 1492, Fruit and vegetable products —Determination of tin contentTZS 1495, Fruits, vegetables and derived products — Determination of copper content — Method using flame atomic absorption spectrometryTZS 1502, Fruits, vegetables and derived products — Determination of arsenic content — Silver diethyldithocarbamate spectrophotometric methodTZS 122, Microbiology of food and feeding stuffs - Horizontal method for the detection of salmonella sppTZS 2616, Foodstuffs-Determination of mercury by flameless atomic absorption spectrophotometric method</t>
  </si>
  <si>
    <t>AFDC 12 (4156), Flavoured drink in solid form — Specification, First Edition</t>
  </si>
  <si>
    <t>This Tanzania Standard specifies requirements, sampling and test methods for flavoured drink in solid form containing nutritive sweeteners intended for human consumption as a ready-to-drink beverage after reconstitution with potable water.Note: This Draft Tanzania Standard was also notified under TBT Committee.</t>
  </si>
  <si>
    <r>
      <rPr>
        <sz val="11"/>
        <rFont val="Calibri"/>
      </rPr>
      <t>https://members.wto.org/crnattachments/2026/SPS/TZA/26_01365_00_e.pdf</t>
    </r>
  </si>
  <si>
    <t>AFDC 12 (4182) DTZS, Ginger drink — Specification, First Edition</t>
  </si>
  <si>
    <t>This Tanzania standard specifies requirements, method of sampling and testing for non-alcoholic ginger drink for direct human consumption.Note: This Draft Tanzania Standard was also notified under TBT Committee.</t>
  </si>
  <si>
    <r>
      <rPr>
        <sz val="11"/>
        <rFont val="Calibri"/>
      </rPr>
      <t>https://members.wto.org/crnattachments/2026/SPS/TZA/26_01368_00_e.pdf</t>
    </r>
  </si>
  <si>
    <t>AFDC 12 (4155) DTZS, Amaranth flour — Specification, Third Edition</t>
  </si>
  <si>
    <t>This Tanzania Standard specifies the requirements, methods of sampling and testing for amaranth flour milled from grains of the amaranth intended for human consumption.Note: This Draft Tanzania Standard was also notified under TBT Committee.</t>
  </si>
  <si>
    <r>
      <rPr>
        <sz val="11"/>
        <rFont val="Calibri"/>
      </rPr>
      <t>https://members.wto.org/crnattachments/2026/SPS/TZA/26_01364_00_e.pdf</t>
    </r>
  </si>
  <si>
    <t>AFDC 12 (4158) DTZS, Baobab fruit powder — Specification, Second  Edition</t>
  </si>
  <si>
    <t>This Tanzania standard specifies the requirements, methods of sampling and testing for Baobab fruit powder (Adansonia digitata) intended for human consumption and industrial use.Note: This Draft Tanzania Standard was also notified under TBT Committee.</t>
  </si>
  <si>
    <r>
      <rPr>
        <sz val="11"/>
        <rFont val="Calibri"/>
      </rPr>
      <t>https://members.wto.org/crnattachments/2026/SPS/TZA/26_01367_00_e.pdf</t>
    </r>
  </si>
  <si>
    <t>Avocados Grown in South Florida and Imported Avocados; Change in 
Maturity Requirements</t>
  </si>
  <si>
    <t>This final rule implements a recommendation from the Avocado Administrative Committee (Committee) to change the maturity requirements under the marketing order for avocados grown in South Florida. This action updates the avocado maturity shipping schedule to allow certain sizes and weights of the Beta avocado variety to be shipped earlier than is currently allowed. This action also makes a corresponding change to the avocado import regulation, as required under the Agricultural Marketing Agreement Act of 1937Effective 8 April 202691 Federal Register (FR) 11131, 9 March 2026; Title 7 Code of Federal Regulations (CFR) Parts 915 and 944_x000D_
https://www.govinfo.gov/content/pkg/FR-2026-03-09/html/2026-04584.htm_x000D_
https://www.govinfo.gov/content/pkg/FR-2026-03-09/pdf/2026-04584.pdfThis final rule and the proposed rule notified as G/TBT/N/USA/922/Rev.2 are identified by Docket Number AMS-SC-23-0084.  The Docket Folder is available on Regulations.gov at https://www.regulations.gov/docket/AMS-SC-23-0084/document and provides access to primary and supporting documents as well as comments received. Documents are also accessible from Regulations.gov by searching the Docket Number.</t>
  </si>
  <si>
    <t>Avocados; Fresh or dried avocados (HS code(s): 080440); Quality (ICS code(s): 03.120); Fruits. Vegetables (ICS code(s): 67.080)</t>
  </si>
  <si>
    <t>080440 - Fresh or dried avocados; 080440 - Fresh or dried avocados</t>
  </si>
  <si>
    <t>03.120 - Quality; 67.080 - Fruits. Vegetables; 03.120 - Quality; 67.080 - Fruits. Vegetables</t>
  </si>
  <si>
    <t>Prevention of deceptive practices and consumer protection (TBT); Quality requirements (TBT); Cost saving and productivity enhancement (TBT)</t>
  </si>
  <si>
    <t>Food standards; Food standards</t>
  </si>
  <si>
    <r>
      <rPr>
        <sz val="11"/>
        <rFont val="Calibri"/>
      </rPr>
      <t>https://members.wto.org/crnattachments/2026/TBT/USA/final_measure/26_01349_00_e.pdf</t>
    </r>
  </si>
  <si>
    <t>DEAS 1326:2026, Gum Arabic — Specification, First Edition</t>
  </si>
  <si>
    <t>This draft East African Standard specifies requirements, sampling and test methods for food grade Gum Arabic obtained from Acacia senegal (L.) Willdenow var. senegal or Acacia seyal (family Leguminosae) also known as Acacia gum intended for human consumption. </t>
  </si>
  <si>
    <t>Natural gum Arabic (HS code(s): 130120); Agriculture (ICS code(s): 65); Food additives (ICS code(s): 67.220.20)</t>
  </si>
  <si>
    <t>65 - Agriculture; 67.220.20 - Food additives</t>
  </si>
  <si>
    <t>Consumer information, labelling (TBT); Prevention of deceptive practices and consumer protection (TBT); Protection of human health or safety (TBT); Protection of the environment (TBT); Quality requirements (TBT); Harmonization (TBT); Reducing trade barriers and facilitating trade (TBT)</t>
  </si>
  <si>
    <r>
      <rPr>
        <sz val="11"/>
        <rFont val="Calibri"/>
      </rPr>
      <t>https://members.wto.org/crnattachments/2026/TBT/UGA/26_01344_00_e.pdf</t>
    </r>
  </si>
  <si>
    <t>AOAC 923.03, Ash of Flour (Direct Method)AOAC 952.13, Arsenic in food — Silver diethyldithiocarbamate methodAOAC 972.25, Lead in Food: Atomic Absorption Spectrophotometric MethodFDEAS 1244, General Standard for the Labelling of Food Additives when sold as such — RequirementsCAC/GL 50, General guidelines on samplingISO 4833-1, Microbiology of the food chain – Horizontal method for the enumeration of microorganisms – Part 1: Colony count at 30 degrees C by the pour plate techniqueISO 4833-2, Microbiology of the food chain — Horizontal method for the enumeration of microorganisms — Part 2: Colony count at 30 degrees C by the surface plating techniqueISO 5984, Animal feeding stuffs — Determination of crude ashISO 1871, Food and feed products — General guidelines for the determination of nitrogen by the Kjeldahl methodDEAS 1327, Harvesting, handling, processing and storage of Gum Arabic — Code of practiceISO 6579–1, Microbiology of the food chain — Horizontal method for the detection, enumeration and serotyping of Salmonella — Part 1: Detection of Salmonella spp.ISO/TS 6579–2, Microbiology of food and animal feed — Horizontal method for the detection, enumeration and serotyping of Salmonella — Part 2: Enumeration by a miniaturized most probable number techniqueISO 7251, Microbiology of food and animal feeding stuffs — Horizontal method for the detection and enumeration of presumptive Escherichia coli — Most probable number techniqueCXS 192, General Standard for Food AdditivesJECFA (1998). Specifications prepared at the 51st meeting of the Joint FAO/WHO Expert Committee on Food Additives (JECFA). FAO Food and Nutrition Paper (FNP) 52 Addendum 6 (1998). Republished in FNP 52 Addendum 7 (1999) to incorporate editorial revisions. This publication supersedes specifications issued at the 49th JECFA (1997) in FNP 52 Addendum 5 (1997). Acceptable Daily Intake (ADI): “not specified”, established by the 35th JECFA (1989)International Oenological Codex (2023). Gum Arabic (COEI-1-COMARA; SIN No. 414). Published in Food Bioscience, 53 (June 2023), Article 10271IS 6795: Acacia (Arabic) Gum, Food Grade</t>
  </si>
  <si>
    <t>DEAS 1327:2026, Harvesting, handling, processing and storage of Gum Arabic — Code of practice, First Edition.</t>
  </si>
  <si>
    <t>This draft Code of practice recommends appropriate hygienic practices for harvesting, processing, handling, packaging, storage, transport, distribution of Gum Arabic from Acacia senegal (L) Wild, Acacia seyal (L) Wild, or of related species of Acacia (Family. Leguminosae) raw material collection at the farm level to the final product intended for food application. This Code guarantees a safe, hygienic and wholesome product. These hygienic practices are particularly important, because hygiene control measures apply to Gum Arabic of different species from the farm to industry. It establishes practices to ensure product safety, quality traceability and compliance with relevant standards across the entire value chain.</t>
  </si>
  <si>
    <t>Natural gum Arabic (HS code(s): 130120); Food additives (ICS code(s): 67.220.20)</t>
  </si>
  <si>
    <t>67.220.20 - Food additives</t>
  </si>
  <si>
    <t>Prevention of deceptive practices and consumer protection (TBT); Protection of human health or safety (TBT); Protection of the environment (TBT); Harmonization (TBT); Reducing trade barriers and facilitating trade (TBT)</t>
  </si>
  <si>
    <r>
      <rPr>
        <sz val="11"/>
        <rFont val="Calibri"/>
      </rPr>
      <t>https://members.wto.org/crnattachments/2026/TBT/UGA/26_01346_00_e.pdf</t>
    </r>
  </si>
  <si>
    <t>EAS 12, Potable water — SpecificationEAS 38, Labelling of pre-packaged foods — General requirementsEAS 39, Hygiene in the food and drink manufacturing industry — Code of practiceLutte contre la desertification, By the Secretariat of the Interdepartmental working group on desertification, available as a bound book, or a CD-rom on Windows 95/98/NT-32Mbyte RAM; 11 Mbytes EDDThe Gum Tree and Gum Arabic, by Pape NDIENGOU SALL, 03.1997 - 29 pages Technical notes on the project RCS-SAHEL-1 507/RAF/33Walking profile: GUM ARABIC Overview of world production and commerce by D. MULLER, 1997 then 1999; 15 pages + 3 tablesProceedings of the SYGGA III Symposium Saint-Louis, SENEGAL, 25-28 10. 1988 State of research on seeds, gum formationTrees, shrubs and lianas of the dry zones of West Africa, 360 fact sheets, one per species, with 4 identification keys based on leaves, flowers, fruits or thorns, by Michel Arbonnier, January 2000. True field species identification guideTrees and shrubs of the Sahel, by H. J. VON MAYDELL, 1983 &amp; 1990 - 531 pages Pocket field guide, with several technical annexes</t>
  </si>
  <si>
    <t>Modificación sobre los requisitos fitosanitarios de cumplimiento obligatorio para la importación de granos de sorgo (Sorghum bicolor) para consumo, originarios de Argentina (Amendment to the mandatory phytosanitary requirements for the importation of sorghum (Sorghum bicolor) grains for consumption from Argentina)</t>
  </si>
  <si>
    <t>The notified text amends the mandatory phytosanitary requirements for the importation of sorghum (Sorghum bicolor) grains for consumption from Argentina.</t>
  </si>
  <si>
    <t>Sorghum (Sorghum bicolor) grains</t>
  </si>
  <si>
    <t>1007 - Grain sorghum</t>
  </si>
  <si>
    <t>Argentina</t>
  </si>
  <si>
    <r>
      <rPr>
        <sz val="11"/>
        <rFont val="Calibri"/>
      </rPr>
      <t>https://members.wto.org/crnattachments/2026/SPS/ECU/26_01053_00_s.pdf</t>
    </r>
  </si>
  <si>
    <t>G/SPS/N/ECU/388- 2 - WTO - Internal</t>
  </si>
  <si>
    <t>DEAS 1327:2026, Harvesting, handling, processing and storage of Gum Arabic — Code of practice, First Edition</t>
  </si>
  <si>
    <t>This draft Code of practice recommends appropriate hygienic practices for harvesting, processing, handling, packaging, storage, transport, distribution of Gum Arabic from Acacia senegal (L) Wild, Acacia seyal (L) Wild, or of related species of Acacia (Family Leguminosae) raw material collection at the farm level to the final product intended for food application. This Code guarantees a safe, hygienic and wholesome product. These hygienic practices are particularly important, because hygiene control measures apply to Gum Arabic of different species from the farm to industry. It establishes practices to ensure product safety, quality traceability and compliance with relevant standards across the entire value chain.</t>
  </si>
  <si>
    <t>Food safety (SPS); Plant protection (SPS); Protect humans from animal/plant pest or disease (SPS); Protect territory from other damage from pests (SPS)</t>
  </si>
  <si>
    <t>Territory protection; Plant health; Human health; Food safety</t>
  </si>
  <si>
    <r>
      <rPr>
        <sz val="11"/>
        <rFont val="Calibri"/>
      </rPr>
      <t>https://members.wto.org/crnattachments/2026/SPS/UGA/26_01345_00_e.pdf</t>
    </r>
  </si>
  <si>
    <t>Proposed Maximum Residue Limit: Ethylene bis-dithiocarbamate (EBDC) Fungicides: Mancozeb, Metiram, Maneb and Zineb (PMRL2026-06)</t>
  </si>
  <si>
    <t>The objective of the notified document PMRL2026-06 is to consult on the proposed new MRLs for mancozeb, and proposed MRL revocations for ethylene bis-dithiocarbamate (EBDC) fungicides and corresponding commodities identified in the PMRL.</t>
  </si>
  <si>
    <t>Pesticide ethylene bis-dithiocarbamate (EBDC) fungicides (mancozeb, metiram, maneb and zineb) in or on various commodities (ICS codes: 65.020, 65.100, 67.040, 67.060, 67.080) </t>
  </si>
  <si>
    <t>65.020 - Farming and forestry; 65.100 - Pesticides and other agrochemicals; 67.040 - Food products in general; 67.060 - Cereals, pulses and derived products; 67.080 - Fruits. Vegetables</t>
  </si>
  <si>
    <t>Maximum residue limits (MRLs); Human health; Food safety</t>
  </si>
  <si>
    <t>Normally within four to five months from the posting of the Proposed MRL document on the Health Canada website.</t>
  </si>
  <si>
    <t>On the date the measure is adopted.</t>
  </si>
  <si>
    <t>Table 2 of the PMRL document compares the new MRLs proposed for mancozeb in Canada with the corresponding Codex MRLs.
Table 3 of the PMRL document compares the MRLs proposed for revocation for ethylene bis-dithiocarbamate (EBDC) fungicides in Canada with the corresponding Codex MRLs.</t>
  </si>
  <si>
    <t>Revising the National Drug Code Format and Drug Label Barcode Requirements</t>
  </si>
  <si>
    <t>The Food and Drug Administration (FDA, the Agency, or we) is issuing a final rule to standardize the format of the National Drug Code (NDC). Under this final rule, all FDA-assigned NDCs will be required to be 12 digits in length with 3 distinct segments and 1 uniform format. The first segment is a 6-digit labeler code, the second segment is a 4-digit product code, and the third segment is a 2-digit package code. Additionally, we are revising the drug product barcode label requirements to permit the use of other data carriers that meet the standards of this final rule.This rule is effective 7 March 2033.91 Federal Register (FR) 10749, 5 March 2026; Title 21 Code of Federal Regulations (CFR) Parts 201 and 207_x000D_
https://www.govinfo.gov/content/pkg/FR-2026-03-05/html/2026-04368.htm_x000D_
https://www.govinfo.gov/content/pkg/FR-2026-03-05/pdf/2026-04368.pdfThis final rule and the proposed rule notified as G/TBT/N/USA/1899 is identified by Docket Number FDA-2021-N-1351. The Docket Folder is available on Regulations.gov at https://www.regulations.gov/docket/FDA-2021-N-1351/document and provides access to primary documents as well as comments received. Documents are also accessible from Regulations.gov by searching the Docket Number. </t>
  </si>
  <si>
    <t>National drug code (NDC) label barcode requirements; Technical product documentation (ICS code(s): 01.110); Pharmaceutics (ICS code(s): 11.120)</t>
  </si>
  <si>
    <t>01.110 - Technical product documentation; 01.110 - Technical product documentation; 11.120 - Pharmaceutics; 11.120 - Pharmaceutics</t>
  </si>
  <si>
    <t>Consumer information, labelling (TBT); Prevention of deceptive practices and consumer protection (TBT); Protection of human health or safety (TBT); Cost saving and productivity enhancement (TBT)</t>
  </si>
  <si>
    <r>
      <rPr>
        <sz val="11"/>
        <rFont val="Calibri"/>
      </rPr>
      <t>https://members.wto.org/crnattachments/2026/TBT/USA/final_measure/26_01307_00_e.pdf</t>
    </r>
  </si>
  <si>
    <t>Slovenia</t>
  </si>
  <si>
    <t>REGULATION on the restriction of CMR 1A/1B substances in childcare articles</t>
  </si>
  <si>
    <t>The Regulation temporarily restricts the presence of carcinogenic, mutagenic and toxic to reproduction substances of category 1A or 1B (CMR 1A/1B) in childcare products placed on the market in the Republic of Slovenia. It is based on Articles 50 and 51 of the Chemicals Act and was adopted due to a justified risk to children's health. The Regulation stipulates that these products may not contain CMR 1A/1B substances in a concentration ≥ 0.001% (10 mg/kg) in any homogeneous material, except where even stricter limits are prescribed for specific substances. Exceptions are also provided for: used products, parts inaccessible to children, and medical devices. The Regulation defines the concept of childcare products, the obligations of manufacturers, importers and distributors, and the method of control, which includes the requirement for technical documentation and laboratory analyses. The measure is temporary and, in accordance with the law, the Government must review it no later than within one year and, based on new findings, decide on its abolition, extension or amendment.</t>
  </si>
  <si>
    <t>Childcare articles</t>
  </si>
  <si>
    <t>97.190 - Equipment for children</t>
  </si>
  <si>
    <r>
      <rPr>
        <sz val="11"/>
        <rFont val="Calibri"/>
      </rPr>
      <t>https://technical-regulation-information-system.ec.europa.eu/en/notification/27663</t>
    </r>
  </si>
  <si>
    <t>Chemicals Act, OJ RS, no. 110/03</t>
  </si>
  <si>
    <t>Modificación de los requisitos fitosanitarios de cumplimiento obligatorio para la importación de granos de cebada (Hordeum vulgare) para consumo, originarios de Argentina (Amendment to the mandatory phytosanitary requirements for the importation of barley (Hordeum vulgare) grains for consumption from Argentina)</t>
  </si>
  <si>
    <t>The notified text amends the mandatory phytosanitary requirements for the importation of barley (Hordeum vulgare) grains for consumption from Argentina.</t>
  </si>
  <si>
    <t>Barley (Hordeum vulgare) grains</t>
  </si>
  <si>
    <t>1003 - Barley</t>
  </si>
  <si>
    <r>
      <rPr>
        <sz val="11"/>
        <rFont val="Calibri"/>
      </rPr>
      <t>https://members.wto.org/crnattachments/2026/SPS/ECU/26_01056_00_s.pdf</t>
    </r>
  </si>
  <si>
    <t>G/SPS/N/ECU/391- 2 -</t>
  </si>
  <si>
    <t>Reglamento Técnico Agua Envasada. Requisitos Generales (segunda Revisión) </t>
  </si>
  <si>
    <t>The notified Technical Regulations establishes the physico-chemical, microbiological, organoleptic and radiological requirements, as well as the sanitary conditions to ensure the safety and quality of bottled water intended for human consumption in the Republic of Panama.</t>
  </si>
  <si>
    <t>Bebidas no alcohólicas (Código(s) de la ICS: 67.160.20)</t>
  </si>
  <si>
    <r>
      <rPr>
        <sz val="11"/>
        <rFont val="Calibri"/>
      </rPr>
      <t>https://members.wto.org/crnattachments/2026/TBT/PAN/26_01327_00_s.pdf</t>
    </r>
  </si>
  <si>
    <t>• Reglamento Técnico DGNTI – COPANIT 77-2007 Agua Envasada. Requisitos Generales.• DGNTI-COPANIT 21-2019 Tecnología de los alimentos agua. agua potable. definiciones y requisitos generales.• Norma Técnica DGNTI-COPANIT 427-2007, Agua envasada. Definiciones y requisitos generales.• Reglamento Técnico DGNTI-COPANIT 3-421-98 Metrología. Contenido de Neto de Preempacados. Requisitos.• Resolución No.181 de 10 de agosto de 2001 Que reglamenta el embotellamiento de agua en envases retornables.G/TBT/N/PAN/160- 2 - • Título II Ley 23 de 1997. Disposiciones sobre Normalización Técnica, Evaluación de la Conformidad, Acreditación, Certificación de Calidad, Metrología y Conversión al Sistema Internacional de Unidades.• Ley 45 del 31 de octubre de 2007 que "Dicta normas de protección al consumidor y defensa de la competencia.</t>
  </si>
  <si>
    <t>This draft East African Standard specifies requirements, sampling and test methods for food grade Gum Arabic obtained from Acacia senegal (L.) Willdenow var. senegal or Acacia seyal (family Leguminosae) also known as Acacia gum intended for human consumption.</t>
  </si>
  <si>
    <t>Food safety (SPS); Protect humans from animal/plant pest or disease (SPS)</t>
  </si>
  <si>
    <r>
      <rPr>
        <sz val="11"/>
        <rFont val="Calibri"/>
      </rPr>
      <t>https://members.wto.org/crnattachments/2026/SPS/UGA/26_01343_00_e.pdf</t>
    </r>
  </si>
  <si>
    <t>Modificación de requisitos fitosanitarios de cumplimiento obligatorio para la importación de fibra sin cardar ni peinar de algodón (Gossypium hirsutum) para la industria, originaria de Argentina (Amendment to the mandatory phytosanitary requirements for the importation of cotton (Gossypium hirsutum) fibre, not carded or combed, for industry, from Argentina)</t>
  </si>
  <si>
    <t>The notified text amends the mandatory phytosanitary requirements for the importation of cotton (Gossypium hirsutum) fibre, not carded or combed, for industry, from Argentina.</t>
  </si>
  <si>
    <t>Cotton fibre</t>
  </si>
  <si>
    <t>520100 - Cotton, neither carded nor combed</t>
  </si>
  <si>
    <r>
      <rPr>
        <sz val="11"/>
        <rFont val="Calibri"/>
      </rPr>
      <t>https://members.wto.org/crnattachments/2026/SPS/ECU/26_01054_00_s.pdf</t>
    </r>
  </si>
  <si>
    <t>Commission Implementing Decision laying down rules for the application of Directive (EU) 2019/904 of the European Parliament and of the Council as regards the calculation, verification and reporting of data on recycled plastic content in single-use plastic beverage bottles and repealing Commission Implementing Decision (EU) 2023/2683; D113092/01 - Comitology Register</t>
  </si>
  <si>
    <t>The implementing decision lays down rules for the calculation, verification and reporting of recycled content in PET bottles. EU Member States will have to apply these rules to demonstrate compliance with the recycled plastic content targets set in Article 6(5) of the Single-Use Plastics Directive (EU) 2019/904. The rules depend on the applied recycling technologies: For the mechanical recycling of PET, they are based on the system that is already established by EU food contact legislation (Regulation (EU) 2022/1616 on the use of recycled plastic materials in articles intended to come into contact with food). For chemical recycling, mass balance accounting has to be applied, and chemical recyclers are subject to additional third-party certification.The geographical scope for the recycling (including sorting) to take place in order to allow the output to count as recycled content is part of the definition of “recycled plastic” in Article 1(1).</t>
  </si>
  <si>
    <t>Single-use plastic beverage bottles that are made of polyethylene terephthalate as the major component, including caps, lids, labels and sleeves, with a volume of up to 3 litres (hereafter referred to as “PET bottles”) and intermediate materials of the supply chain of recycled plastic that is used in such bottles</t>
  </si>
  <si>
    <t>55.100 - Bottles. Pots. Jars; 83.140 - Rubber and plastics products</t>
  </si>
  <si>
    <t>Protection of human health or safety (TBT); Protection of animal or plant life or health (TBT)</t>
  </si>
  <si>
    <t>Global plastic pollution negatively affects animal and plant life as well as human health. The Single-Use Plastics Directive (EU) 2019/904 introduced measures to reduce the negative effects caused by the littering of certain plastic products on the environment and human health and to increase the circularity of the plastics industry. These measures include targets for the minimum recycled content in single-use plastic beverage bottles on EU Member State level. The notified measure ensures that recycled plastic contributing to these targets has been recycled in an environmentally sound manner. This is necessary to preserve the environmental added value of promoting recycled content and to avoid situations in which inadequate waste collection and management practices as well as pollutant emissions undermine the sustainability benefits of substituting virgin with recycled materials.</t>
  </si>
  <si>
    <t>Q2/2026 (1 week after final date for comments)</t>
  </si>
  <si>
    <t>Q2/2026 (20 days after publication, i.e. approximately 5 weeks after adoption)</t>
  </si>
  <si>
    <r>
      <rPr>
        <sz val="11"/>
        <rFont val="Calibri"/>
      </rPr>
      <t>https://members.wto.org/crnattachments/2026/TBT/EEC/26_01339_00_e.pdf
https://members.wto.org/crnattachments/2026/TBT/EEC/26_01339_01_e.pdf</t>
    </r>
  </si>
  <si>
    <t>Draft Ordinance of the Federal Council concerning amendments of the Ordinance on the Reduction of Risks relating to the Use of Certain Particularly Dangerous Substances, Preparations and Articles (Chemical Risk Reduction Ordinance, ORRChem, Fedlaw number: SR 814.81) </t>
  </si>
  <si>
    <t>The notified draft ordinance does not only cover food contact materials, but also 1) Firefighting foams containing per- and polyfluoroalkyl substances (PFASs), including ready-to-use portable fire extinguishers.2) Packaging and labelling for partially halogenated unsaturated hydrofluorocarbons, 3) Substances, articles and preparations containing perfluorooctane sulfonic acid and its derivatives,4) Substances, articles and preparations containing perfluorocarboxylic acids with 15 to 21 carbon atoms.5) Substances, articles and preparations containing medium-chain chlorinated paraffins6) Substances, articles and preparations containing chlorpyrifos7) Certain products containing mercury8) Plant protection products and9) FertilizerThe new regulations on firefighting foam concentrates, the regulation on packaging and labelling for partially halogenated unsaturated hydrofluorocarbons and the regulation on substances, articles and preparations containing perfluorooctane sulfonic acid and its derivatives are harmonizations with EU law. The regulation of substances, articles and preparations containing perfluorocarboxylic acids with 15 to 21 carbon atoms, the regulation of substances, articles and preparations containing medium-chain chlorinated paraffins and the regulation of substances, articles and preparations containing chlorpyrifos are based on a decision of the twelfth Conference of the Parties of the Stockholm Convention.  The regulation on mercury is amended due to adjustments made in Annex A of the Minamata Convention on Mercury.The rules concerning fertilisers and plant protection products are only intended to permit the use of certain products and do not contain any trade restrictions. The proposed entry into force is the 1st of December 2026. However, depending on the product, different transition periods apply.</t>
  </si>
  <si>
    <t>Food contact materials</t>
  </si>
  <si>
    <t>Food safety; Human health; Plant health; Territory protection</t>
  </si>
  <si>
    <t>BPJPH Extends Comment for The Draft Regulation of the Halal Product Assurance Organizing Agency of the Republic of Indonesia Number … of … concerning the Form and Procedures for the Labelling of Non-Halal Information</t>
  </si>
  <si>
    <t>WTO Members and their stakeholders are asked to submit comments to Indonesia WTO TBT Enquiry Point by or before 4pm Jakarta Time (UTC+7) on 13 April 2026. Comments will be responded to if submitted prior to the final comment deadline.</t>
  </si>
  <si>
    <t>Food, beverages, medicines, cosmetics, chemical products, biological products, genetically engineered products, as well as consumer goods that are worn, used, or otherwise utilized by the public and are subject to mandatory halal certification</t>
  </si>
  <si>
    <t>11.120 - Pharmaceutics; 11.120 - Pharmaceutics; 67.160 - Beverages; 67.160 - Beverages; 71.100 - Products of the chemical industry; 71.100 - Products of the chemical industry; 71.100.70 - Cosmetics. Toiletries; 71.100.70 - Cosmetics. Toiletries</t>
  </si>
  <si>
    <t>Consumer information, labelling (TBT); Prevention of deceptive practices and consumer protection (TBT)</t>
  </si>
  <si>
    <t>Modificación de los requisitos fitosanitarios de cumplimiento obligatorio para la importación de granos de trigo (Triticum aestivum) para consumo, originarios de Argentina (Amendment to the mandatory phytosanitary requirements for the importation of wheat (Triticum aestivum) grains for consumption from Argentina)</t>
  </si>
  <si>
    <t>The notified text amends the mandatory phytosanitary requirements for the importation of wheat (Triticum aestivum) grains for consumption from Argentina.</t>
  </si>
  <si>
    <t>Wheat (Triticum aestivum) grains</t>
  </si>
  <si>
    <t>1001 - Wheat and meslin</t>
  </si>
  <si>
    <r>
      <rPr>
        <sz val="11"/>
        <rFont val="Calibri"/>
      </rPr>
      <t>https://members.wto.org/crnattachments/2026/SPS/ECU/26_01057_00_s.pdf</t>
    </r>
  </si>
  <si>
    <t>G/SPS/N/ECU/392- 2 -</t>
  </si>
  <si>
    <t>MODIFICACIÓN DEL DECRETO SUPREMO N°977/96, MINISTERIO DE SALUD, REGLAMENTO SANITARIO DE LOS ALIMENTOS, TÍTULO VIII DE LAS LECHES Y PRODUCTOS LÁCTEOS, ARTÍCULO 203, TÍTULO XV DE LOS ALIMENTOS FARINÁCEOS PÁRRAFO II DE LAS HARINAS ARTÍCULO 350, TÍTULO XXVII DE LAS BEBIDAS ANALCOHÓLICAS, JUGOS DE FRUTA Y HORTALIZAS Y AGUAS ENVASADAS, PÁRRAFO I DE LAS BEBIDAS ANALCOHOLICAS ARTÍCULO 481 BIS (Amendment to Supreme Decree No. 977/96, Ministry of Health, Food Health Regulations, Section VIII Milk and milk products, Article 203; Section XV Farinaceous foods, Paragraph II Flours, Article 350; Section XXVII Non-alcoholic beverages, fruit and vegetable juices and packaged waters, Paragraph I Non-alcoholic beverages, Article 481 bis)</t>
  </si>
  <si>
    <t>The Republic of Chile hereby advises that Ministry of Health Decree No. 29, issued on 1 September 2023, superseding Ministry of Health Decree No. 48, issued on 11 May 2022, has been published.__________</t>
  </si>
  <si>
    <t>Food fortification with vitamin D</t>
  </si>
  <si>
    <t>Consumer information, labelling (TBT); Protection of human health or safety (TBT)</t>
  </si>
  <si>
    <r>
      <rPr>
        <sz val="11"/>
        <rFont val="Calibri"/>
      </rPr>
      <t>https://members.wto.org/crnattachments/2026/TBT/CHL/final_measure/26_01324_00_s.pdf
https://www.diariooficial.interior.gob.cl/publicaciones/2024/06/18/43879/01/2505891.pdf</t>
    </r>
  </si>
  <si>
    <t>DECRETO N° 5507/2026 “POR EL CUAL SE ACTUALIZAN Y MODIFICAN LOS ARTÍCULOS 1° y 5° DEL DECRETO N° 18.352 DEL 26 DE AGOSTO DE 2002”.</t>
  </si>
  <si>
    <t>The notified Decree updates and amends Articles 1 and 5 of Decree No. 18.352 of 26 August 2002.</t>
  </si>
  <si>
    <t>Cemento. Si. California. Mortero (Código(s) de la ICS: 91.100.10)</t>
  </si>
  <si>
    <t>91.100.10 - Cement. Gypsum. Lime. Mortar</t>
  </si>
  <si>
    <r>
      <rPr>
        <sz val="11"/>
        <rFont val="Calibri"/>
      </rPr>
      <t>https://members.wto.org/crnattachments/2026/TBT/PRY/26_01332_00_s.pdf</t>
    </r>
  </si>
  <si>
    <t>Proposed Maximum Residue Limit: Fluazaindolizine (PMRL2026-04)</t>
  </si>
  <si>
    <t>The objective of the notified document PMRL2026-04 is to consult on the listed maximum residue limits (MRLs) for fluazaindolizine that have been proposed by Health Canada’s Pest Management Regulatory Agency (PMRA).MRL (ppm)1 Raw Agricultural Commodity (RAC) and/or Processed Commodity 0.15         Low growing berries (crop subgroup 13-07G)2 0.04         Small fruits vine climbing, except fuzzy kiwifruit (crop subgroup 13-07F), tree nuts (crop group 14-11)   0.02          Leafy vegetables (crop group 4-13); Brassica head and stem vegetable group (crop group 5-13)3 0.01         Stone fruits (crop group 12-09) 1 ppm = parts per million2 This MRL is proposed to replace the currently established MRL of 0.01 ppm for Low growing berries (crop subgroup 13-07G).3 This MRL is proposed to replace the currently established MRL of 0.015 ppm for Leafy vegetables (crop group 4-13) and Brassica head and stem vegetable group (crop group 5-13).The commodities included in the listed crop groups/subgroups can be found on the Residue Chemistry Crop Groups webpage (https://www.canada.ca/en/health-canada/services/consumer-product-safety/pesticides-pest-management/public/protecting-your-health-environment/pesticides-food/residue-chemistry-crop-groups.html) in the Pesticides section of the Canada.ca website.</t>
  </si>
  <si>
    <t>Pesticide fluazaindolizine in or on various commodities (ICS codes: 65.020, 65.100, 67.040, 67.080)  </t>
  </si>
  <si>
    <t>65.020 - Farming and forestry; 65.100 - Pesticides and other agrochemicals; 67.040 - Food products in general; 67.080 - Fruits. Vegetables</t>
  </si>
  <si>
    <t>Table 3 of the PMRL document compares the MRLs proposed for fluazaindolizine in Canada with corresponding Codex MRLs.</t>
  </si>
  <si>
    <t>Proposed Maximum Residue Limit: Acynonapyr (PMRL2026-05)</t>
  </si>
  <si>
    <t>The objective of the notified document PMRL2026-05 is to consult on the listed maximum residue limit (MRL) for acynonapyr that has been proposed by Health Canada’s Pest Management Regulatory Agency (PMRA).MRL (ppm)1 Raw Agricultural Commodity (RAC) and/or Processed Commodity0.2                   Pome fruits (crop group 11-09) 1 ppm = parts per millionThe commodities included in the listed crop groups/subgroups can be found on the Residue Chemistry Crop Groups webpage (https://www.canada.ca/en/health-canada/services/consumer-product-safety/pesticides-pest-management/public/protecting-your-health-environment/pesticides-food/residue-chemistry-crop-groups.html) in the Pesticides section of the Canada.ca website.</t>
  </si>
  <si>
    <t>Pesticide acynonapyr in or on pome fruits (ICS codes: 65.020, 65.100, 67.040, 67.080)</t>
  </si>
  <si>
    <t>Currently, there are no Codex MRLs listed for acynonapyr in or on any commodity according to the Codex Alimentarius Pesticide Index website.</t>
  </si>
  <si>
    <t>Proposal for a Regulation of the European Parliament and of the Council amending Regulations (EC) No 999/2001, (EC) No 1829/2003, (EC) No 1831/2003, (EC) No 852/2004, (EC) No 853/2004, (EC) No 396/2005, (EC) No 1099/2009, (EC) No 1107/2009, (EU) No 528/2012, (EU) 2017/625 as regards the simplification and strengthening of food and feed safety requirements (Text with EEA relevance) (COM(2025) 1030 finalProposal for a Regulation of the European Parliament and of the Council amending Regulation (EU) No 528/2012 as regards the extension of certain data protection periods (COM/2025/1020 final</t>
  </si>
  <si>
    <t>Regulation (EC) No 1829/2003: clarification of legal status of food and feed obtained using genetically modified microorganisms.Amendments to Regulation (EC) No 1831/2003: the draft act provides for 1) unlimited duration of authorisation of feed additives (except coccidiostats and histomonostats) accompanied by safety safeguards, 2) simplification and clarification of procedures for modification of feed additives authorisations and 3) allowing digital labelling of feed additives and premixtures for certain non-safety information.Regulation (EC) No 1099/2009: this part of the proposal removes the obligation in Article 18(4) of Regulation (EC) No 1099/2009 for Member States to submit a separate annual report on depopulation operations. Information on compliance with animal welfare requirements during depopulation activities will instead continue to be reported through the existing annual reports under Regulation (EU) 2017/625 on official controls.Amendment to Regulation (EC) No 999/2001: the proposal will make more flexible Regulation (EC) No 999/2001 to ensure that the control measures of that disease can be updated in a swifter and more proportionate manner to enable that it becomes more science-based and more aligned with the relevant Chapter 11.4 of the WOAH Terrestrial Code.Amendment to Regulation (EU) No 528/2012: The draft Proposal for a Regulation of the European Parliament and of the Council amending Regulation (EU) No 528/2012 proposes to extend the data protection of data of existing active substances still under evaluation in the review programme due to delays in the completion of the review programme, and also proposes a number of changes to lower administrative burden, including the possibility for certain active substances to have unlimited approval.Amendment to Regulation (EC) No 1107/2009: The draft Proposal for a Regulation of the European Parliament and of the Council amending Regulation (EC) No 1107/2009 proposes a number of changes to lower administrative burden and allow for faster market access, without reducing the existing protection standards for health and the environment. The proposal aims to accelerate access to innovative biocontrol solutions. This will be achieved by, among others, tackling procedural inefficiencies, defining biocontrol substances, allowing provisional authorisations of products containing biocontrol substances, and reallocating or increasing resources in Member State authorities and the European Food Safety Authority. The possibility for certain active substances to have unlimited approval periods is proposed, alongside new provisions to allow for the renewal or targeted reassessment of those substances. Existing provisions concerning derogation from the approval criteria and grace periods are also amended. The proposal also intends to expand market access for plant protection products through stronger mutual recognition of product authorisations between Member States and strengthened support for minor uses. In addition, the proposal intends to clarify provisions related to basic substances, seed treatment and data protection to increase harmonisation of implementation across Member States.Amendment to Regulation (EU) 2017/625: Two amendments are proposed on the official controls Regulation (OCR): (a) Article 50(3) is amended to provide the possibility to competent authorities of border control posts to split the consignments of plants and plant products before completing the official controls on the entirety of the consignment, in order to release the parts for which official controls have been finalised while other parts still need further controls. (b) Articles 41, 93, 100 and 144 are amended so that the Commission is empowered to adopt delegated acts concerning the cases where, and the conditions under which, laboratories may be designated as official laboratories, national reference laboratories and EU reference laboratories, while operating and being accredited in accordance with similar laboratory standards to EN ISO/IEC 17025 and/or not being accredited for all the methods they use for official controls or other official activities.</t>
  </si>
  <si>
    <t>This proposal amends a broad range of legislations with their various product coverages, as indicatively listed below:Food and feed obtained using genetically modified organisms, as covered by Regulation (EC) No 1829/2003.Preparations of a kind used in animal feeding, as covered by Regulation (EC) No 1831/2003.Live animals as covered by Regulation (EC) No 1099/2009.Live animals and certain commodities (bovine collagen and gelatine), as covered by Regulation (EC) No 999/2001.Biocidal Products, as covered by Regulation (EU) No 528/2012.Plants, plant products and other objects referred to in Article 47(1)(c) of Regulation (EU) 2017/625 [only for the amendment of Article 50(3)].Plant protection productsas covered byRegulation (EC) No 1107/2009.</t>
  </si>
  <si>
    <t>07.080 - Biology. Botany. Zoology; 65.020.20 - Plant growing; 65.020.30 - Animal husbandry and breeding; 65.120 - Animal feeding stuffs; 71.100 - Products of the chemical industry</t>
  </si>
  <si>
    <t>Protection of human health or safety (TBT); Protection of animal or plant life or health (TBT); Protection of the environment (TBT); Harmonization (TBT); Cost saving and productivity enhancement (TBT)</t>
  </si>
  <si>
    <t>Amendment to Regulation (EC) No 1829/2003: ensure the good functioning of the internal market and increase legal certainty as regards the legal status of food and feed obtained using genetically modified microorganisms. Amendments to Regulation (EC) No 1831/2003: protection of human health, animal health, environment and users’ and consumers’ interests in relation to feed additives.Amendment to Regulation (EC) No 999/2001: protection of animal and human health, removal of unnecessary regulatory and operational burdens, update in alignment with science and international standards.Amendment to Regulation (EU) No 528/2012: protection of human health or safety; protection of the environment; harmonisation; urgent extension of data protection due to delays in the completion of the EU review programme on biocides.Amendment of Regulation (EU) 2017/625: (a) amendment of Article 50: to allow the splitting of consignments of plants, plant products and other objects falling under Article 47(1)(c) of that Regulation, at the border, to facilitate the performance of official controls. In cases where such consignments consist of various commodities, there is a need to avoid unnecessary delay or financial loss for the operators of the plant sector while maintaining the level of phytosanitary protection of the Union territory.(b) amendment of Articles 41, 93, 100 and 144: to allow, under specific conditions, the designation as official laboratories, national reference laboratories and EU reference laboratories, laboratories operating and being accredited in accordance with similar laboratory standards to EN ISO/IEC 17025 and/or not being accredited for all the methods they use for official controls or other official activities.Amendment to Regulation (EC) No 1107/2009: protection of human health or safety; protection of the environment; harmonisation; facilitating market access for biocontrol substances and products; reduction of burden; innovation.</t>
  </si>
  <si>
    <t>20 days from publication in the Official Journal of the EU</t>
  </si>
  <si>
    <r>
      <rPr>
        <sz val="11"/>
        <rFont val="Calibri"/>
      </rPr>
      <t>https://members.wto.org/crnattachments/2026/TBT/EEC/26_01342_01_e.pdf
https://members.wto.org/crnattachments/2026/TBT/EEC/26_01342_00_e.pdf</t>
    </r>
  </si>
  <si>
    <t>Evaluation of Regulation (EC) No 1831/2003 on additives for use in animal nutrition (SWD(2024) 46 final)Simplification Omnibus Package COMMISSION STAFF WORKING DOCUMENT Accompanying the document Proposal for a REGULATION OF THE EUROPEAN PARLIAMENT AND OF THE COUNCIL amending Regulations (EC) No 999/2001, (EC) No 1829/2003, (EC) No 1831/2003, (EC) No 852/2004, (EC) No 853/2004, (EC) No 396/2005, (EC) No 1099/2009, (EC) No 1107/2009, (EU) No 528/2012, (EU) 2017/625 as regards the simplification and strengthening of food and feed safety requirements {COM(2025) 1030} (SWD(2025)1030 final)Proposal for a REGULATION OF THE EUROPEAN PARLIAMENT AND OF THE COUNCIL amending Regulation (EU) No 528/2012 as regards the extension of certain data protection periods (COM/2025/1020 finalAs regard the amendments to Regulation (EC) No 999/2001 of the European Parliament and of the Council of 22 May 2001 laying down rules for the prevention, control and eradication of certain transmissible spongiform encephalopathies. Available in all EU languages. http://data.europa.eu/eli/reg/2001/999/2025-03-12., the relevant international standards are set out in Chapter 11.4 of the WOAH Terrestrial Code ( Codes and Manuals - WOAH - World Organisation for Animal Health)</t>
  </si>
  <si>
    <t>National Standards for Traffic Control Devices; the Manual on Uniform Traffic Control Devices for Streets and Highways; Revision</t>
  </si>
  <si>
    <t>The Manual on Uniform Traffic Control Devices for Streets and Highways (MUTCD) is incorporated in Federal Highway Administration (FHWA) regulations and recognized as the national standard for traffic control devices used on all public roads, bikeways, and private roads open to public travel. The purpose of this final rule is to make technical corrections to revise Standard, Guidance, Option provisions, and supporting information, relating to the traffic control devices in all parts of the MUTCD. The changes provide minor technical corrections and address editorial changes that have been identified since the 11th Edition of the MUTCD was published. The changes promote uniformity and ultimately improve and promote the safe and efficient utilization of roads that are open to public travel. The MUTCD, with these changes incorporated, is being designated as Revision 1 of the 11th Edition of the MUTCD.This final rule is effective 5 March 2026. The incorporation by reference of the publication listed in the rule is approved by the Director of the Office of the Federal Register as of 5 March 2026.91 Federal Register (FR) 10771, 5 March 2026; Title 23 Code of Federal Regulations (CFR) Part 655_x000D_
https://www.govinfo.gov/content/pkg/FR-2026-03-05/html/2026-04365.htm_x000D_
https://www.govinfo.gov/content/pkg/FR-2026-03-05/pdf/2026-04365.pdfThis final rule is identified by Docket Number FHWA-2024-0074. The Docket Folder is available on Regulations.gov at https://www.regulations.gov/docket/FHWA-2024-0074/document and provides access to primary and supporting documents. Documents are also accessible from Regulations.gov by searching the Docket Number and/or keywords.Other actions notified under the symbol G/TBT/N/USA/1678 are identified by Docket Numbers FHWA-2009-0139 and FHWA-2020-0001. The dockets provide access to related documents as well as comments received.</t>
  </si>
  <si>
    <t>Accident and disaster control (ICS code(s): 13.200); Electronic display devices (ICS code(s): 31.120)</t>
  </si>
  <si>
    <t>13.200 - Accident and disaster control; 13.200 - Accident and disaster control; 31.120 - Electronic display devices; 31.120 - Electronic display devices</t>
  </si>
  <si>
    <t>Protection of human health or safety (TBT); Cost saving and productivity enhancement (TBT)</t>
  </si>
  <si>
    <r>
      <rPr>
        <sz val="11"/>
        <rFont val="Calibri"/>
      </rPr>
      <t>https://members.wto.org/crnattachments/2026/TBT/USA/final_measure/26_01306_00_e.pdf</t>
    </r>
  </si>
  <si>
    <t>Czech Republic</t>
  </si>
  <si>
    <t>Draft decree amending Decree No 422/2016 on radiation protection and security of radionuclide sources</t>
  </si>
  <si>
    <t>13 DECREE of 22 January 2026, amending Decree No 422/2016 on radiation protection and security of radionuclide sources; was adopted on 22 January 2026, published on 29 January 2026 and came into force on 1 February 2026</t>
  </si>
  <si>
    <t>Sources of ionising radiation (including radionuclide sources) and workplace equipment with sources of ionising radiation._x000D_
Sources of ionising radiation used in healthcare.ICS: Nuclear energy engineering (ICS code(s): 27.120); ICS: 27.120.99 other standards</t>
  </si>
  <si>
    <t>27.120 - Nuclear energy engineering; 27.120.99 - Other standards related to nuclear energy; 27.120.99 - Other standards related to nuclear energy; 27.120 - Nuclear energy engineering</t>
  </si>
  <si>
    <t>In relation to the amendment to the Atomic Act, an analysis of the suitability and necessity of amending legislation implementing the Atomic Act was carried out. The main objective of the amendment to Decree No 422/2016 is to respond to the amendment to the Atomic Act, which, in the area of radiation protection, consists primarily of minor (but rather numerous) amendments to the procedures for ensuring radiation protection. This must be ensured within the scope of a wide range of activities associated with sources of ionising radiation. These include, in particular, activities involving sources of ionising radiation in the context of industrial activity, medical use (treatment and diagnosis) or mineral extraction. The draft decree builds on the experience gained by the State Office for Nuclear Safety in the application of the decree in the context of its monitoring activities, in the context of international expert missions (the IAEA mission in the field of IPPAS – 2021 or IRRS – 2023 security) and also in the context of suggestions from addressees of obligations in the field of radiation protection and security of radionuclide sources and other public authorities involved in this system._x000D_
The current Decree No 422/2016 transposes into the Czech legal code the requirements of the legislation of the European Atomic Energy Community, namely Council Directive 2013/59/Euratom of 5 December 2013 laying down basic safety standards for protection against the dangers arising from exposure to ionising radiation, and repealing Directives 89/618/Euratom, 90/641/Euratom, 96/29/Euratom, 97/43/Euratom and 2003/122/Euratom (hereinafter “Directive 2013/59/Euratom”) and Council Directive 2013/51/Euratom of 22 October 2013 laying down requirements for the protection of the health of the general public with regard to radioactive substances in water intended for human consumption (hereinafter “Directive 2013/51/Euratom”).</t>
  </si>
  <si>
    <r>
      <rPr>
        <sz val="11"/>
        <rFont val="Calibri"/>
      </rPr>
      <t>https://members.wto.org/crnattachments/2026/TBT/CZE/final_measure/26_01323_00_e.pdf
https://members.wto.org/crnattachments/2026/TBT/CZE/final_measure/26_01323_00_x.pdf
https://technical-regulation-information-system.ec.europa.eu/en/notification/27328
https://technical-regulation-information-system.ec.europa.eu/cs/notification/27328</t>
    </r>
  </si>
  <si>
    <t>Modificación sobre los requisitos fitosanitarios de cumplimiento obligatorio para la importación de granos de girasol (Helianthus annuus) para consumo, originarios de Argentina (Amendment to the mandatory phytosanitary requirements for the importation of sunflower (Helianthus annuus) seeds for consumption from Argentina)</t>
  </si>
  <si>
    <t>The notified text amends the mandatory phytosanitary requirements for the importation of sunflower (Helianthus annuus) seeds for consumption from Argentina.</t>
  </si>
  <si>
    <t>Sunflower (Helianthus annuus) seeds</t>
  </si>
  <si>
    <t>120600 - Sunflower seeds, whether or not broken</t>
  </si>
  <si>
    <r>
      <rPr>
        <sz val="11"/>
        <rFont val="Calibri"/>
      </rPr>
      <t>https://members.wto.org/crnattachments/2026/SPS/ECU/26_01055_00_s.pdf</t>
    </r>
  </si>
  <si>
    <t>G/SPS/N/ECU/390- 2 -</t>
  </si>
  <si>
    <t>AFDC 4 (3880) DTZS, Nut or oilseed butter — Specification,First edition </t>
  </si>
  <si>
    <t>This Tanzania standard specifies the requirements, sampling and test methods for nut or oilseed butter intended for human consumption._x000D_
This standard does not apply to nut or oilseed butters which are covered by specific standards such as peanut butter,cashew butter and almond butterNote: This Draft Tanzania Standard was also notified under SPS committee.</t>
  </si>
  <si>
    <t>Other oil seeds and oleaginous fruits, whether or not broken (excl. edible nuts, olives, soya beans, groundnuts, copra, linseed, rape or colza seeds and sunflower seeds) (HS code(s): 1207); Oilseeds (ICS code(s): 67.200.20)</t>
  </si>
  <si>
    <t>1207 - Other oil seeds and oleaginous fruits, whether or not broken (excl. edible nuts, olives, soya beans, groundnuts, copra, linseed, rape or colza seeds and sunflower seeds)</t>
  </si>
  <si>
    <t>67.200.20 - Oilseeds</t>
  </si>
  <si>
    <r>
      <rPr>
        <sz val="11"/>
        <rFont val="Calibri"/>
      </rPr>
      <t>https://members.wto.org/crnattachments/2026/TBT/TZA/26_01296_00_e.pdf</t>
    </r>
  </si>
  <si>
    <t>CXS 192, General standards for food additivesCXS 193, Codex general standard for contaminants and toxins in food and feedTZS 4, Rounding off numerical valuesTZS 54, Animal and Vegetable fats and oils – SamplingTZS 76, General method for determination of arsenic silver diethyldithiocarmate photometric methodTZS 109, General principles of food hygiene -Code of practiceTZS 118-1 /ISO 4833-2, Microbiology of the food chain - Horizontal method for the enumeration of microorganisms - Part 2 Colony count at 30 °C by pour plate techniqueTZS 122-1 /ISO 6579-1, Microbiology of the food chain — Horizontal method for the detection, enumeration and serotyping of Salmonella- Part 1: Detection of Salmonella spp.TZS 125, Microbiology of food and animal feeding stuffs - Horizontal method for the enumeration of coagulase-positive staphylococci (Staphylococcus aureus and other species) - Part 2: Technique using rabbit plasma fibrinogen agar mediumTZS 268, General atomic absorption — Spectro — Photometric method for determination of lead in food stuffsTZS 538, Pre -packaged food labeling — general requirementsTZS 730-2, Microbiology of food and animal feeding stuffs – Horizontal method for the enumeration of -b-glucuronidase-positive Escherichia coli – Part 2 – Colony-count technique at 44 0C using 5-bromo-4-chloro-3-indolyl-b-D-glucuronideTZS 1326, Animal and vegetable fats and oils – Determination of moisture and volatile matterTZS 1331, Animal and vegetable fats and oils – Determination of acid value and acidityTZS 2426-2, Microbiology of food and animal feeding stuffs - Horizontal method for the enumeration of yeasts and moulds - Part 2: Colony count technique in products with water activity less than or equal to 0.95TZS 799, Foodstuffs – Determination of aflatoxin B1, and the total content of aflatoxins B1, B2, G1 and G2 in cereals, nuts and derived products – High-performance liquid chromatographic methodTZS 3420, Oilseed Residues — Determination of Ash Insoluble in Hydrochloric Acid</t>
  </si>
  <si>
    <t>AFDC 19 (3879) DTZS,Coconut milk powder — Specification,First edition </t>
  </si>
  <si>
    <t>This Tanzania standard specifies the requirements, sampling and test methods for coconut milk powder obtained from the fruit of the coconut palm (Cocos nucifera L) intended for human consumptionNote: This Draft Tanzania Standard was also notified under SPS committee.</t>
  </si>
  <si>
    <t>Desiccated coconuts (HS code(s): 080111); Food products in general (ICS code(s): 67.040)</t>
  </si>
  <si>
    <t>080111 - Desiccated coconuts</t>
  </si>
  <si>
    <r>
      <rPr>
        <sz val="11"/>
        <rFont val="Calibri"/>
      </rPr>
      <t>https://members.wto.org/crnattachments/2026/TBT/TZA/26_01297_00_e.pdf</t>
    </r>
  </si>
  <si>
    <t>CXS 192, General standards for food additivesCXS 193, Codex general standard for contaminants and toxins in food and feedTZS 4, Rounding off numerical valuesTZS 109, Food processing units – Code of hygiene – GeneralTZS 118-1 /ISO 4833-2, Microbiology of the food chain - Horizontal method for the enumeration of microorganisms - Part 2 Colony count at 30 °C by pour plate techniqueTZS 122-1 /ISO 6579-1, Microbiology of the food chain — Horizontal method for the detection, enumeration and serotyping of Salmonella- Part 1: Detection of Salmonella spp.TZS 268, General atomic absorption spectrophotometric method for determination of lead in food and food stuffsTZS 538, Pre -packaged food labeling — general requirementsTZS 730-2 /ISO 16649-2, Microbiology of food and animal feeding stuffs – Horizontal method for the enumeration of -b-glucuronidase-positive Escherichia coli – Part 2 – Colony-count technique at 44 0C using 5-bromo-4-chloro-3-indolyl-b-D-glucuronideTZS 2426-2/ISO 21527-2, Microbiology of food and animal feeding stuffs - Horizontal method for the enumeration of yeasts and moulds - Part 2: Colony count technique in products with water activity less than or equal to 0.95TZS 799/ISO 16050, Foodstuffs – Determination of aflatoxin B1, and the total content of aflatoxins B1, B2, G1 and G2 in cereals, nuts and derived products – High-performance liquid chromatographic methodTZS 1314 –2, Oilseeds – Determination of moisture and volatile matter contentTZS 1314 – 4, Oilseeds – Determination of acidity of oilsTZS 330, Cereals — Sampling of milled productsTZS 2624, Oilseed residues - Determination of total ashTZS 3607-1, Cereals and pulses Determination of the nitrogen content and calculation of the crude protein content - Kjeldahl methodTZS 2623, Butter, edible oil emulsions and spreadable fats - Determination of fat content (Reference method)TZS 76, General method for determination of arsenic silver diethyldithiocarmate photometric method</t>
  </si>
  <si>
    <t>Commission Implementing Regulation (EU) 2026/352 of 18 February 2026 concerning the authorisation of L-arginine produced with Escherichia coli CCTCC M 20231961 as a feed additive for all animal species (Text with EEA relevance)</t>
  </si>
  <si>
    <t>This Regulation authorises for the first time in the European Union and for a period of ten years L-arginine produced with Escherichia coli CCTCC M 20231961 as a feed additive belonging to the additive category ‘nutritional additives’ and in the functional group ‘amino acids, their salts and analogues’. This authorisation is based on the favourable conclusions of a scientific assessment of the dossier submitted by the applicant, conducted by the European Food Safety Authority (EFSA). The terms of the authorisation are detailed in the Annex to the Act.</t>
  </si>
  <si>
    <t>Animal health; Food safety; Human health</t>
  </si>
  <si>
    <t>This Regulation shall enter into force on the  twentieth day following that of its publication in the Official Journal of the European Union.</t>
  </si>
  <si>
    <r>
      <rPr>
        <sz val="11"/>
        <rFont val="Calibri"/>
      </rPr>
      <t>https://members.wto.org/crnattachments/2026/SPS/EEC/26_01278_00_e.pdf
https://members.wto.org/crnattachments/2026/SPS/EEC/26_01278_00_f.pdf
https://members.wto.org/crnattachments/2026/SPS/EEC/26_01278_00_s.pdf</t>
    </r>
  </si>
  <si>
    <t>AFDC 19 (3879) DTZS, Coconut milk powder — Specification, First Edition</t>
  </si>
  <si>
    <t>This Tanzania standard specifies the requirements, sampling and test methods for coconut milk powder obtained from the fruit of the coconut palm (Cocos nucifera L) intended for human consumption.Note: This Draft Tanzania Standard was also notified under TBT Committee.</t>
  </si>
  <si>
    <r>
      <rPr>
        <sz val="11"/>
        <rFont val="Calibri"/>
      </rPr>
      <t>https://members.wto.org/crnattachments/2026/SPS/TZA/26_01291_00_e.pdf</t>
    </r>
  </si>
  <si>
    <t>Commission Implementing Regulation (EU) 2026/353 of 18 February 2026 concerning the authorisation of L-histidine and L-histidine monohydrochloride monohydrate, produced with Corynebacterium glutamicum KCCM 80389 as feed additives for all animal species (Text with EEA relevance)</t>
  </si>
  <si>
    <t>This Regulation authorises for the first time in the European Union and for a period of ten years L-histidine and L-histidine monohydrochloride monohydrate, produced with Corynebacterium glutamicum KCCM 80389 as feed additives belonging to the additive category ‘nutritional additives’ and in the functional group ‘amino acids, their salts and analogues’. This authorisation is based on the favourable conclusions of a scientific assessment of the dossier submitted by the applicant, conducted by the European Food Safety Authority (EFSA). The terms of the authorisation are detailed in the Annex to the Act.</t>
  </si>
  <si>
    <r>
      <rPr>
        <sz val="11"/>
        <rFont val="Calibri"/>
      </rPr>
      <t>https://members.wto.org/crnattachments/2026/SPS/EEC/26_01272_00_e.pdf
https://members.wto.org/crnattachments/2026/SPS/EEC/26_01272_00_f.pdf
https://members.wto.org/crnattachments/2026/SPS/EEC/26_01272_00_s.pdf</t>
    </r>
  </si>
  <si>
    <t>Commission Implementing Regulation (EU) 2026/348 of 17 February 2026 concerning the authorisation of a preparation of Lacticaseibacillus huelsenbergensis DSM 115424 as a feed additive for all animal species (Text with EEA relevance)</t>
  </si>
  <si>
    <t>This Regulation authorises for the first time in the European Union and for a period of ten years a preparation of Lacticaseibacillus huelsenbergensis DSM 115424 as a feed additive belonging to the category ‘technological additives’ and in the functional group ‘silage additives’. This authorisation is based on the favourable conclusions of a scientific assessment of the dossier submitted by the applicant, conducted by the European Food Safety Authority (EFSA). The terms of the authorisation are detailed in the Annex to the Act.</t>
  </si>
  <si>
    <r>
      <rPr>
        <sz val="11"/>
        <rFont val="Calibri"/>
      </rPr>
      <t>https://members.wto.org/crnattachments/2026/SPS/EEC/26_01277_00_e.pdf
https://members.wto.org/crnattachments/2026/SPS/EEC/26_01277_00_f.pdf
https://members.wto.org/crnattachments/2026/SPS/EEC/26_01277_00_s.pdf</t>
    </r>
  </si>
  <si>
    <t>AFDC 4 (3878) DTZS, Edible rice bran oil (rice oil) — Specification, First edition </t>
  </si>
  <si>
    <t>This Tanzania Standard specifies the requirements, sampling and test methods for rice bran oil derived from the bran of rice (Oryza sativa L). intended for human consumptionNote: This Draft Tanzania Standard was also notified under SPS committee.</t>
  </si>
  <si>
    <t>- Other: (HS code(s): 12079); Oilseeds (ICS code(s): 67.200.20)</t>
  </si>
  <si>
    <t>12079 - - Other:</t>
  </si>
  <si>
    <r>
      <rPr>
        <sz val="11"/>
        <rFont val="Calibri"/>
      </rPr>
      <t>https://members.wto.org/crnattachments/2026/TBT/TZA/26_01293_00_e.pdf</t>
    </r>
  </si>
  <si>
    <t>CXS 192, General standards for food additivesTZS 4, Rounding off numerical valuesTZS 54, Animal and vegetable fats and oils — SamplingTZS 76, General method for determination of arsenic silver diethyldithiocarmate photometric methodTZS 109, Food processing units — Code of hygiene — GeneralTZS 268, General atomic absorption — Spectro — Photometric method for determination of lead in food stuffsTZS 538, Packaging and labeling of Foods-General requirementsTZS 799, Foodstuffs — Determination of aflatoxin B1, and the total content of aflatoxins B1, B2, G1 and G2 in cereals, nuts and derived products — High-performance liquidchromatographic methodTZS 1313, Fortified edible oils and fats — SpecificationTZS 1322, Oils and fats — Sampling and test methods — Purity testTZS 1324, Animal and vegetable fats and oils — Determination of peroxide value-Iodometric (visual) end point determinationTZS 1325, Animal and vegetable fats and oils — Determination of saponification valueTZS 1326, Animal and vegetable fats and oils — Determination of moisture and volatile matterTZS 1327, Animal and vegetable fats and oils — Determination of iodine valueTZS 1328, Essential oils — Determination of relative density at 20 °C — Reference methodTZS 1329, Animal and vegetable fats and oils — Determination of refractive indexTZS 1331, Animal and vegetable fats and oils — Determination of acid value and acidityTZS 1332, Animal and vegetable fats and oils — Determination of unsaponifiable matter-method using diethyl ether extractionTZS 1335, Animal and vegetable fats and oils — Determination of copper, iron and nicke –content graphite furnace atomic absorptionTZS 1336, Animal and vegetable fats and oils — Determination of insoluble impurities content</t>
  </si>
  <si>
    <t>Draft - Updates the phytosanitary requirements for the importation of blueberry fruit (Vaccinium corymbosum) produced in Spain</t>
  </si>
  <si>
    <t>Draft Ordinance aiming to update the phytosanitary requirements for the importation into Brazil of blueberry fruit (Vaccinium corymbosum) (category 3) produced in Spain.</t>
  </si>
  <si>
    <t>Vaccinium corymbosum</t>
  </si>
  <si>
    <t>081040 - Fresh cranberries, bilberries and other fruits of the genus Vaccinium</t>
  </si>
  <si>
    <t>Plant health; Pest- or Disease- free Regions / Regionalization; Territory protection</t>
  </si>
  <si>
    <r>
      <rPr>
        <sz val="11"/>
        <rFont val="Calibri"/>
      </rPr>
      <t>https://members.wto.org/crnattachments/2026/SPS/BRA/26_01282_00_x.pdf</t>
    </r>
  </si>
  <si>
    <t>AFDC 19(3883) DTZS, Flaxseed/Linseed — Specification, First edition </t>
  </si>
  <si>
    <t>This Tanzania Standard specifies the requirements, sampling and test methods for raw and roasted flaxseed/linseed (Linum usitatissimum) intended for human consumption.Note: This Draft Tanzania Standard was also notified under SPS committee.</t>
  </si>
  <si>
    <t>Linseed, whether or not broken. (HS code(s): 1204); Oilseeds (ICS code(s): 67.200.20)</t>
  </si>
  <si>
    <t>1204 - Linseed, whether or not broken.</t>
  </si>
  <si>
    <r>
      <rPr>
        <sz val="11"/>
        <rFont val="Calibri"/>
      </rPr>
      <t>https://members.wto.org/crnattachments/2026/TBT/TZA/26_01298_00_e.pdf</t>
    </r>
  </si>
  <si>
    <t>CXS 192, General standard for food additivesCXS 193, General Standard for Contaminants and Toxins in Food and FeedTZS 4, Rounding off numerical valuesTZS 109, Food processing units – Code of hygiene – GeneralTZS 538, Packaging and labeling of foodsTZS 742, Oleaginous seeds – SamplingTZS 799, Foodstuffs – Determination of aflatoxin B1, and the total content of aflatoxins B1,B2, G1 and G2 in cereals, nuts and derived products – High-performance liquid chromatographic methodTZS 1314 – 1, Oilseeds – Determination of content of impuritiesTZS 1314 – 2, Oilseeds – Determination of moisture and volatile matter contentTZS 1314 – 3, Oilseeds – Determination of oil content (Reference method)TZS 1314 – 4, Oilseeds – Determination of acidity of oilsTZS 122-1 /ISO 6579-1, Microbiology of the food chain — Horizontal method for the detection, enumeration and serotyping of Salmonella- Part 1: Detection of Salmonella sppTZS 730-2 /ISO 16649-2, Microbiology of food and animal feeding stuffs – Horizontal method for the enumeration of -b-glucuronidase-positive Escherichia coli – Part 2 – Colony-count technique at 44 0C using 5-bromo-4-chloro-3-indolyl-b-D-glucuronideTZS 2426-2/ISO 21527-2, Microbiology of food and animal feeding stuffs - Horizontal method for the enumeration of yeasts and moulds - Part 2: Colony count technique in products with water activity less than or equal to 0.95TZS 125-2, Microbiology of food and animal feeding stuffs - Horizontal method for the enumeration of coagulase-positive staphylococci (Staphylococcus aureus and other species) -Part 2: Technique using rabbit plasma fibrinogen agar mediumTZS 2623, Butter, edible oil emulsions and spreadable fats - Determination of fat content (Reference method)TZS 3420, Oilseed residues - Determination of ash insoluble in hydrochloric acidTZS 3607-1, Cereals and pulses Determination of the nitrogen content and calculation of the crude protein content - Kjeldahl method</t>
  </si>
  <si>
    <t>Kemin Industries, Inc.; Filing of Food Additive Petition (Animal Use); Notification of Petition</t>
  </si>
  <si>
    <t>The Food and Drug Administration (FDA or we) is announcing that we have filed a food additive petition, submitted by Kemin Industries, Inc., proposing that we amend our food additive regulations to provide for the safe use of chromium propionate as a source of chromium in food for layer and breeding chickens. The food additive petition was filed on 7 February 2026. </t>
  </si>
  <si>
    <t>Preparations of a kind used in animal feeding (HS code(s): 2309); Food technology (ICS code(s): 67)</t>
  </si>
  <si>
    <r>
      <rPr>
        <sz val="11"/>
        <rFont val="Calibri"/>
      </rPr>
      <t>https://members.wto.org/crnattachments/2026/SPS/USA/26_01328_00_e.pdf
https://www.federalregister.gov/d/2026-04284</t>
    </r>
  </si>
  <si>
    <t>AFDC 04 (3877) DTZS, Crude palm kernel oil — Specification, First edition </t>
  </si>
  <si>
    <t>This Tanzania Standard specifies the requirements, sampling and test methods for crude palm kernel oil derived from the kernel of the fruit of the palm species Elaeis guineensis intended for further processing in the food industryNote: This Draft Tanzania Standard was also notified under SPS committee.</t>
  </si>
  <si>
    <t>Crude palm oil (HS code(s): 151110); Oilseeds (ICS code(s): 67.200.20)</t>
  </si>
  <si>
    <t>151110 - Crude palm oil</t>
  </si>
  <si>
    <r>
      <rPr>
        <sz val="11"/>
        <rFont val="Calibri"/>
      </rPr>
      <t>https://members.wto.org/crnattachments/2026/TBT/TZA/26_01292_00_e.pdf</t>
    </r>
  </si>
  <si>
    <t>TZS 4, Rounding off numerical valuesTZS 54, Animal and vegetable fats and oils — SamplingTZS 76, Methods for determination of arsenicTZS 109, Food processing units — Code of hygiene — GeneralTZS 268, General atomic absorption — Spectrophotometric method for determination of lead in food stuffsTZS 538, Packaging and labeling of Foods-General requirementTZS 1324, Animal and vegetable fats and oils — Determination of peroxide value-Iodometric (visual) end point determination TZS 1325, Animal and vegetable fats and oils — Determination of saponification valueTZS 1326, Animal and vegetable fats and oils — Determination of moisture and volatile matterTZS 1327, Animal and vegetable fats and oils — Determination of iodine valueTZS 1328, Essential oils — Determination of relative density at 20 °C — Reference methodTZS 1329, Animal and vegetable fats and oils — Determination of refractive indexTZS 1330, Animal and vegetable fats and oils - Determination of lovibondcolourTZS 1331, Animal and vegetable fats and oils — Determination of acid value and acidityTZS 1335, Animal and vegetable fats and oils — Determination of copper, iron and nickel content graphite furnace atomic absorptionTZS 1333, Animal and vegetable fats and oils- Determination of melting point in open capillary tubes (slip point)TZS 1336, Animal and vegetable fats and oils — Determination of insoluble impurities contentTZS 4646, Code of Practice for the storage and transport of edible fats and oils in bulk</t>
  </si>
  <si>
    <t>CDC10 (4308) DTZS, Kraft liner board - specification, Second Edition</t>
  </si>
  <si>
    <t>This draft Tanzania Standard specifies the requirements, sampling and test methods of Kraft liner board</t>
  </si>
  <si>
    <t> Kraftliner: (HS code(s): 48041); Paper products in general (ICS code(s): 85.080.01)</t>
  </si>
  <si>
    <t>48041 - - Kraftliner:</t>
  </si>
  <si>
    <t>85.080.01 - Paper products in general</t>
  </si>
  <si>
    <r>
      <rPr>
        <sz val="11"/>
        <rFont val="Calibri"/>
      </rPr>
      <t>https://members.wto.org/crnattachments/2026/TBT/TZA/26_01302_00_e.pdf</t>
    </r>
  </si>
  <si>
    <t>TZS 4: Rounding off numerical valueTZS 79: Paper – Determination for bursting strengthTZS 81: Method for the determination of grammage (basic mass)TZS 80: Paper – Sampling methods for testingTZS 82: -ISO 187, Paper board and pulps — Standard atmosphere for conditioning and testing and procedure for monitoring the atmosphere and conditioning of samplesTZS 83: -ISO 287; Paper and board — Determination of moisture content of a lot — Oven-drying methodTZS 423: -ISO 535: Paper and board — Determination of water absorptiveness- cobb methodTZS 747: - ISO 1974, Paper — Determination of tearing resistance — Elmendorf methodTZS 891: -ISO 534; Paper and board — Determination of thickness, density and specific volumeISO 5636-5: Paper and board – Determination of air permeance (medium range)- Part 5 (Gurley Method)ISO 6588-1: Paper, board and pulps — Determination of pH of aqueous extracts — Part 1: Cold extractionISO 12192: Paper and Board - Determination of compressive strength – Ring Crush methodISO 9895: Paper and Board- Compressive strength – Short Span Test</t>
  </si>
  <si>
    <t> AFDC 19(3881) DTZS, Canola (Rapeseed) seeds for oil extraction — Specification, First Edition</t>
  </si>
  <si>
    <t>This Tanzania Standard specifies requirements, sampling and testing methods for canola seeds of the species Brassica napus L., Brassica rapa L., Brassica juncea L. and Brassica tournefortii Gouan intended for oil extraction for human consumption.Note: This Draft Tanzania Standard was also notified under TBT Committee.</t>
  </si>
  <si>
    <t>Rape, colza or mustard oil and fractions thereof, whether or not refined, but not chemically modified (HS code(s): 1514); Oilseeds (ICS code(s): 67.200.20)</t>
  </si>
  <si>
    <t>1514 - Rape, colza or mustard oil and fractions thereof, whether or not refined, but not chemically modified</t>
  </si>
  <si>
    <r>
      <rPr>
        <sz val="11"/>
        <rFont val="Calibri"/>
      </rPr>
      <t>https://members.wto.org/crnattachments/2026/SPS/TZA/26_01290_00_e.pdf</t>
    </r>
  </si>
  <si>
    <t>Ecoflora Cares; Filing of Color Additive Petition; Notification of Petition</t>
  </si>
  <si>
    <t>The Food and Drug Administration (FDA or we) is announcing that we have filed a petition, submitted by Ecoflora Cares, c/o Exponent, Inc., proposing that we amend our color additive regulations to provide for the safe use of jagua (genipin-glycine) blue as a color additive in pet foods at levels consistent with good manufacturing practice. The color additive petition was filed on 24 February 2026.</t>
  </si>
  <si>
    <r>
      <rPr>
        <sz val="11"/>
        <rFont val="Calibri"/>
      </rPr>
      <t>https://members.wto.org/crnattachments/2026/SPS/USA/26_01329_00_e.pdf
https://www.federalregister.gov/d/2026-04288</t>
    </r>
  </si>
  <si>
    <t>AFDC 04 (3877) DTZS, Crude palm kernel oil — Specification, First Edition</t>
  </si>
  <si>
    <t>This Tanzania Standard specifies the requirements, sampling and test methods for crude palm kernel oil derived from the kernel of the fruit of the palm species Elaeis guineensis intended for further processing in the food industry.Note: This Draft Tanzania Standard was also notified under TBT Committee.</t>
  </si>
  <si>
    <r>
      <rPr>
        <sz val="11"/>
        <rFont val="Calibri"/>
      </rPr>
      <t>https://members.wto.org/crnattachments/2026/SPS/TZA/26_01286_00_e.pdf</t>
    </r>
  </si>
  <si>
    <t>Proposed amendments to the “Labelling Standards for Genetically Modified Foods”</t>
  </si>
  <si>
    <t>The ministry of Food and Drug Safety(MFDS) of the Republic of Korea proposes to amend the Labelling Standards for Genetically Modified Foods. The main amendments are as follows:Even when genetically modified DNA or proteins are not detectable in the final products, foods manufactured or processed using genetically modified ingredients shall be subject to genetically modified food labelling requirements, including:soy sauce, saccharides, edible fats and oils as defined under the Korean Food Code.    2. In consideration of industry preparedness and related circumstances, the dates of entry into force are set as follows:Soy sauce: effective from 31 December 2026Saccharides, edible fats and oils: effective from 31 December 2027</t>
  </si>
  <si>
    <t>Food types defined under the Korean Food Code, including: soy sauce, saccharides, edible fats and oils</t>
  </si>
  <si>
    <t>15 - ANIMAL, VEGETABLE OR MICROBIAL FATS AND OILS AND THEIR CLEAVAGE PRODUCTS; PREPARED EDIBLE FATS; ANIMAL OR VEGETABLE WAXES; 17 - SUGARS AND SUGAR CONFECTIONERY; 210310 - Soya sauce</t>
  </si>
  <si>
    <t>67.200.10 - Animal and vegetable fats and oils; 67.220.10 - Spices and condiments</t>
  </si>
  <si>
    <t>Consumer information, labelling (TBT)</t>
  </si>
  <si>
    <t>This amendment aims to enhance transparency of food information and support informed consumer choice.</t>
  </si>
  <si>
    <r>
      <rPr>
        <sz val="11"/>
        <rFont val="Calibri"/>
      </rPr>
      <t>https://members.wto.org/crnattachments/2026/TBT/KOR/26_01285_00_x.pdf</t>
    </r>
  </si>
  <si>
    <t>MFDS NOTIFICATION No. 2026-114, 27 February 2026</t>
  </si>
  <si>
    <t>CDC10 (4315) DTZS, Folders and files — Specification, Fourth Edition</t>
  </si>
  <si>
    <t>This Draft Tanzania Standard specifies the requirements, sampling and test methods of the folders and files</t>
  </si>
  <si>
    <t>Binders (other than book covers), folders and file covers, of paper or paperboard (HS code(s): 482030); Documents in administration, commerce and industry (ICS code(s): 01.140.30)</t>
  </si>
  <si>
    <t>482030 - Binders (other than book covers), folders and file covers, of paper or paperboard</t>
  </si>
  <si>
    <t>01.140.30 - Documents in administration, commerce and industry</t>
  </si>
  <si>
    <r>
      <rPr>
        <sz val="11"/>
        <rFont val="Calibri"/>
      </rPr>
      <t>https://members.wto.org/crnattachments/2026/TBT/TZA/26_01301_00_e.pdf</t>
    </r>
  </si>
  <si>
    <t>TZS 80, Paper and board — Sampling to determine average qualityTZS 63, Paper sizes -SpecificationTZS 208-1/ISO 3377-1, Leather — Physical and mechanical tests — Determination of tear load — Part 1: Single edge tearTZS 3051-2/ISO 2286-2, Methods for determination of total mass per unit area, per unit area of coating and mass per unit area of substrateTZS 3051-3/ISO 2286-3, Rubber- or plastics-coated fabrics — Determination of roll characteristics — Part 3: Method for determination of thicknessISO 105-X12, Textiles — Tests for colour fastness — Part 12: Colour fastness to rubbingISO 536, Paper and board — Determination of grammageISO 1923, Cellular plastics and rubbers — Determination of linear dimensionsISO 2589, Leather — Physical and mechanical tests — Determination of thicknessISO 3801, Textiles — Woven fabrics — Determination of mass per unit length and mass per unit areaISO 4045, Leather — Chemical tests — Determination of pH and difference figureISO 5398, Leather — Chemical determination of chromic oxide content Part 1: Quantification by titration.US 434 Files and folders — Specification</t>
  </si>
  <si>
    <t>Electricity (Safety) Amendment Regulations 2025 and Gas (Safety and Measurement) Amendment Regulations 2025</t>
  </si>
  <si>
    <t>Amendments to the Electricity (Safety) Regulations 2010 (the ESR) and the Gas (Safety and Measurement) Regulations 2010 (the GSMR) will update_x000D_
approximately 440 citations of standards, alongside a range of technical updates.The Electricity (Safety) Regulations 2010 and the Gas (Safety and Measurement) Regulations 2010 (the regulations) set benchmarks for safe electricity and gas_x000D_
networks, installations, appliances, and associated fittings in New Zealand.The key changes are:_x000D_
• Updates to 50 citations in Schedule 2 of the Electricity (Safety) Regulations 2010, primarily to the latest available version of the same_x000D_
standard, including in relation to solar technologies.                • Updates to 309 citations in Schedule 4 of the Electricity (Safety) Regulations 2010, primarily to the latest available version of the same standard._x000D_
               • Introduction of 53 new citations in Schedule 4 of the Electricity (Safety) Regulations 2010, addressing a range of technologies, including (but not limited to) refrigerating systems, electrical vehicles, and transportable tools._x000D_
              • Updates to 22 citations in Schedule 1 of the Gas (Safety and Measurement) Regulations 2010, primarily to the latest available version of the same standard._x000D_
         o Additional to citation updates, these changes will also:_x000D_
             • Update references to Gas compliance bodies in the Gas (Safety and Measurement) Regulations 2010 to recognise current European, Australian, and British gas certification bodies._x000D_
            • Restructure parts of Schedule 4 of the Electricity (Safety) Regulations 2010 to better categorise products covered in these regulations._x000D_
        o These changes ensure the regulations are as up to date as possible and meet international standards. This will remove existing barriers and costs for both consumers and suppliers and move us closer in line to our international counterparts.</t>
  </si>
  <si>
    <t>See ICS codes table attached.</t>
  </si>
  <si>
    <t>13.260 - Protection against electric shock.  Live working; 19.080 - Electrical and electronic testing; 29.260.20 - Electrical apparatus for explosive atmospheres; 91.140.50 - Electricity supply systems</t>
  </si>
  <si>
    <t>Protection of human health or safety (TBT); Harmonization (TBT)</t>
  </si>
  <si>
    <r>
      <rPr>
        <sz val="11"/>
        <rFont val="Calibri"/>
      </rPr>
      <t xml:space="preserve">https://members.wto.org/crnattachments/2026/TBT/NZL/26_01249_00_e.pdf
</t>
    </r>
  </si>
  <si>
    <t>https://www.mbie.govt.nz/dmsdocument/31586-electricity-safety-amendment-regulations-2025-and-gas-safety-and-measurement-amendment-regulations-2025-proactiverelease-pdfhttps://www.legislation.govt.nz/regulation/public/2025/0225/latest/whole.htmlhttps://legislation.govt.nz/regulation/public/2025/0226/latest/LMS1525328.html</t>
  </si>
  <si>
    <t>CDC10(4304)DTZS, Paper adhesive, liquid gum and office paste Specifications, Second Edition</t>
  </si>
  <si>
    <t>This Tanzania Standard prescribes the requirements, test methods and sampling for adhesives for joining paper to paper or paper to other surfaces like paperboard, wood, cloth, glass and metal in general office use._x000D_
This standard does not cover adhesives used for making cartons and quick-setting adhesive used for labelling with high speed machinery</t>
  </si>
  <si>
    <t xml:space="preserve">Prepared glues and other prepared adhesives, n.e.s.; products suitable for use as glues or adhesives, put up for retail sale as glues or adhesives, and weighing net </t>
  </si>
  <si>
    <t>3506 - Prepared glues and other prepared adhesives, n.e.s.; products suitable for use as glues or adhesives, put up for retail sale as glues or adhesives, and weighing net &lt;= 1 kg</t>
  </si>
  <si>
    <t>83.180 - Adhesives</t>
  </si>
  <si>
    <r>
      <rPr>
        <sz val="11"/>
        <rFont val="Calibri"/>
      </rPr>
      <t>https://members.wto.org/crnattachments/2026/TBT/TZA/26_01300_00_e.pdf</t>
    </r>
  </si>
  <si>
    <t>IS 2257: 1989 Paper adhesive, liquid gum and office paste — Specification</t>
  </si>
  <si>
    <t>AFDC 4 (3880) DTZS, Nut or oilseed butter — Specification First Edition</t>
  </si>
  <si>
    <t>This Tanzania standard specifies the requirements, sampling and test methods for nut or oilseed  butter intended for human consumption._x000D_
This standard does not apply to nut or oilseed butters which are covered by specific standards such as peanut butter, cashew butter and almond butter.Note: This Draft Tanzania Standard was also notified under TBT Committee.</t>
  </si>
  <si>
    <t>Other animal fats and oils and their fractions, whether or not refined, but not chemically modified (HS code(s): 1506); Oilseeds (ICS code(s): 67.200.20)</t>
  </si>
  <si>
    <t>1506 - Other animal fats and oils and their fractions, whether or not refined, but not chemically modified.</t>
  </si>
  <si>
    <r>
      <rPr>
        <sz val="11"/>
        <rFont val="Calibri"/>
      </rPr>
      <t>https://members.wto.org/crnattachments/2026/SPS/TZA/26_01284_00_e.pdf</t>
    </r>
  </si>
  <si>
    <t>Albania</t>
  </si>
  <si>
    <t>Detailed rules for the organic production of algae and aquaculture species</t>
  </si>
  <si>
    <t>This instruction defines the production rules for the organic production of aquatic plant species and aquatic animal species, and in particular for the species: fish, crustaceans (such as crabs, shrimps and lobsters), echinoderms and molluscs.Draft instruction "On Detailed rules for the organic production of algae and aquaculture species" is partially approximated with Part III, of Annex II, of Regulation (EU) 2018/848 of the European Parliament and of the Council of 30 May 2018 on organic production and labelling of organic products and repealing Council Regulation (EC) No 834/2007.</t>
  </si>
  <si>
    <t>Aquatic plant species and aquatic animal species</t>
  </si>
  <si>
    <r>
      <rPr>
        <sz val="11"/>
        <rFont val="Calibri"/>
      </rPr>
      <t>https://members.wto.org/crnattachments/2026/SPS/ALB/26_01305_00_x.pdf</t>
    </r>
  </si>
  <si>
    <t>Resolution of the Cabinet of Ministers of Ukraine No. 233 "On the implementation of a pilot project for the electronic submission and publication of information (reporting) on the ingredients and emissions of tobacco products" of 18 February 2026</t>
  </si>
  <si>
    <t>Ukraine hereby provides the text of the notified measure, attached to this addendum.</t>
  </si>
  <si>
    <t>Tobacco products ingredients</t>
  </si>
  <si>
    <t>24 - TOBACCO AND MANUFACTURED TOBACCO SUBSTITUTES; PRODUCTS, WHETHER OR NOT CONTAINING NICOTINE, INTENDED FOR INHALATION WITHOUT COMBUSTION; OTHER NICOTINE CONTAINING PRODUCTS INTENDED FOR THE INTAKE OF NICOTINE INTO THE HUMAN BODY; 24 - TOBACCO AND MANUFACTURED TOBACCO SUBSTITUTES; PRODUCTS, WHETHER OR NOT CONTAINING NICOTINE, INTENDED FOR INHALATION WITHOUT COMBUSTION; OTHER NICOTINE CONTAINING PRODUCTS INTENDED FOR THE INTAKE OF NICOTINE INTO THE HUMAN BODY</t>
  </si>
  <si>
    <t>65.160 - Tobacco, tobacco products and related equipment; 65.160 - Tobacco, tobacco products and related equipment</t>
  </si>
  <si>
    <t>Consumer information, labelling (TBT); Protection of human health or safety (TBT); Protection of the environment (TBT); Harmonization (TBT)</t>
  </si>
  <si>
    <r>
      <rPr>
        <sz val="11"/>
        <rFont val="Calibri"/>
      </rPr>
      <t>https://members.wto.org/crnattachments/2026/TBT/UKR/final_measure/26_01303_00_x.pdf
https://zakon.rada.gov.ua/laws/show/233-2026-%D0%BF#Text</t>
    </r>
  </si>
  <si>
    <t>AFDC 4 (3882) DTZS, Hardened vegetable fats — Specification, First Edition</t>
  </si>
  <si>
    <t>This Tanzania Standard specifies the requirements and methods of sampling and testing of hardened vegetable fats for human consumption.Note: This Draft Tanzania Standard was also notified under TBT Committee.</t>
  </si>
  <si>
    <t>Fixed vegetable or microbial fats and oils, incl. jojoba oil, and their fractions, whether or not refined, but not chemically modified (excl. soya-bean, groundnut, olive, palm, sunflower-seed, safflower, cotton-seed, coconut, palm kernel, babassu, rape, colza and mustard oil) (HS code(s): 1515); Animal and vegetable fats and oils (ICS code(s): 67.200.10)</t>
  </si>
  <si>
    <t>1515 - Fixed vegetable or microbial fats and oils, incl. jojoba oil, and their fractions, whether or not refined, but not chemically modified (excl. soya-bean, groundnut, olive, palm, sunflower-seed, safflower, cotton-seed, coconut, palm kernel, babassu, rape, colza and mustard oil)</t>
  </si>
  <si>
    <t>67.200.10 - Animal and vegetable fats and oils</t>
  </si>
  <si>
    <r>
      <rPr>
        <sz val="11"/>
        <rFont val="Calibri"/>
      </rPr>
      <t>https://members.wto.org/crnattachments/2026/SPS/TZA/26_01288_00_e.pdf</t>
    </r>
  </si>
  <si>
    <t>AFDC 4 (4115) DTZS, Edible avocado oil — Specification, First Edition</t>
  </si>
  <si>
    <t>This Tanzania standard specifies the requirements, sampling and test methods for edible avocado oil derived from the avocado fruit (Persea americana) intended for human consumption.Note: This Draft Tanzania Standard was also notified under TBT Committee.</t>
  </si>
  <si>
    <t>Vegetable fats and oils and their fractions, partly or wholly hydrogenated, inter-esterified, re-esterified or elaidinised, whether or not refined, but not further prepared (HS code(s): 151620); Animal and vegetable fats and oils (ICS code(s): 67.200.10)</t>
  </si>
  <si>
    <t>151620 - Vegetable fats and oils and their fractions, partly or wholly hydrogenated, inter-esterified, re-esterified or elaidinised, whether or not refined, but not further prepared</t>
  </si>
  <si>
    <r>
      <rPr>
        <sz val="11"/>
        <rFont val="Calibri"/>
      </rPr>
      <t>https://members.wto.org/crnattachments/2026/SPS/TZA/26_01289_00_e.pdf</t>
    </r>
  </si>
  <si>
    <t>Draft - Updates the phytosanitary requirements for the importation of blueberry fruit (Vaccinium corymbosum) produced in Portugal</t>
  </si>
  <si>
    <t>Draft Ordinance aiming to update the phytosanitary requirements for the importation into Brazil of blueberry fruit (Vaccinium corymbosum) (category 3) produced in Portugal.</t>
  </si>
  <si>
    <t>Portugal</t>
  </si>
  <si>
    <r>
      <rPr>
        <sz val="11"/>
        <rFont val="Calibri"/>
      </rPr>
      <t>https://members.wto.org/crnattachments/2026/SPS/BRA/26_01283_00_x.pdf</t>
    </r>
  </si>
  <si>
    <t>AFDC 4 (3882) DTZS, Hardened vegetable fats — Specification, First edition </t>
  </si>
  <si>
    <t>This Tanzania Standard specifies the requirements and methods of sampling and testing of hardened vegetable fats for human consumptionNote: This Draft Tanzania Standard was also notified under SPS committee.</t>
  </si>
  <si>
    <t>Fixed vegetable fats and oils and their fractions, whether or not refined, but not chemically modified (excl. soya-bean, groundnut, olive, palm, sunflower-seed, safflower, cotton-seed, coconut, palm kernel, babassu, rape, colza and mustard, linseed, maize, castor and sesame oil and microbial oils) (HS code(s): 151590); Animal and vegetable fats and oils (ICS code(s): 67.200.10)</t>
  </si>
  <si>
    <t>151590 - Fixed vegetable fats and oils and their fractions, whether or not refined, but not chemically modified (excl. soya-bean, groundnut, olive, palm, sunflower-seed, safflower, cotton-seed, coconut, palm kernel, babassu, rape, colza and mustard, linseed, maize, castor and sesame oil and microbial oils)</t>
  </si>
  <si>
    <r>
      <rPr>
        <sz val="11"/>
        <rFont val="Calibri"/>
      </rPr>
      <t>https://members.wto.org/crnattachments/2026/TBT/TZA/26_01294_00_e.pdf</t>
    </r>
  </si>
  <si>
    <t>CXS 192, General standards for food additivesTZS 4, Rounding off numerical valuesTZS 54, Animal and Vegetable fats and oils – SamplingTZS 76, Methods for determination of arsenicTZS 109, Food processing units — Code of hygiene — GeneralTZS 268, General atomic absorption – Spectro – Photometric method for determination of lead in food stuffsTZS 538, Packaging and labeling of foods -General requirementsTZS 1324, Animal and vegetable fats and oils – Determination of peroxide value – Iodometric (visual) end point determinationTZS 1326, Animal and vegetable fats and oils – Determination of moisture and volatile matterTZS 1331, Animal and vegetable fats and oils – Determination of acid value and acidityTZS 1332, Animal and vegetable fats and oils – Determination of unsaponifiable matter- method using diethyl ether extractionTZS 1333, Animal and vegetable fats and oils – Determination of melting point in open capillary tubes (slip point)TZS 1335, Animal and vegetable fats and oils – Determination of copper, iron and nickel content-graphite furnace atomic absorptionTZS 1336, Animal and vegetable fats and oils – Determination of insoluble impurities contentTZS 1313, Fortified edible fats and oils – SpecificationTZS 118-1 /ISO 4833-2, Microbiology of the food chain - Horizontal method for the enumeration of microorganisms - Part 2 Colony count at 30 °C by pour plate techniqueTZS 122-1 /ISO 6579-1, Microbiology of the food chain — Horizontal method for the detection, enumeration and serotyping of Salmonella- Part 1: Detection of Salmonella spp.TZS 125, Microbiology of food and animal feeding stuffs - Horizontal method for the enumeration of coagulase-positive staphylococci (Staphylococcus aureus and other species)  Part 2: Technique using rabbit plasma fibrinogen agar mediumTZS 268, General atomic absorption — Spectro — Photometric method for determination of lead in food stuffsTZS 538, Pre -packaged food labeling — general requirementsTZS 730-2, Microbiology of food and animal feeding stuffs – Horizontal method for the enumeration of -b-glucuronidase-positive Escherichia coli – Part 2 – Colony-count technique at 44 0C using 5-bromo-4-chloro-3-indolyl-b-D-glucuronideTZS 2426-2, Microbiology of food and animal feeding stuffs - Horizontal method for the enumeration of yeasts and moulds - Part 2: Colony count technique in products with water activity less than or equal to 0.95</t>
  </si>
  <si>
    <t>AFDC 4 (3878) DTZS, Edible rice bran oil (rice oil) — Specification, First Edition</t>
  </si>
  <si>
    <t>This Tanzania Standard specifies the requirements, sampling and test methods for rice bran oil derived from the bran of rice (Oryza sativa L). intended for human consumption.Note: This Draft Tanzania Standard was also notified under TBT Committee.</t>
  </si>
  <si>
    <r>
      <rPr>
        <sz val="11"/>
        <rFont val="Calibri"/>
      </rPr>
      <t>https://members.wto.org/crnattachments/2026/SPS/TZA/26_01287_00_e.pdf</t>
    </r>
  </si>
  <si>
    <t>AFDC 4 (4115) DTZS, Edible avocado oil — Specification, First edition </t>
  </si>
  <si>
    <t>This Tanzania standard specifies the requirements, sampling and test methods for edible avocado oil derived from the avocado fruit (Persea americana) intended for human consumptionNote: This Draft Tanzania Standard was also notified under SPS committee.</t>
  </si>
  <si>
    <r>
      <rPr>
        <sz val="11"/>
        <rFont val="Calibri"/>
      </rPr>
      <t>https://members.wto.org/crnattachments/2026/TBT/TZA/26_01295_00_e.pdf</t>
    </r>
  </si>
  <si>
    <t>CXS 192, General standards for food additivesTZS 4, Rounding off numerical valuesTZS 54, Animal and vegetable fats and oils — SamplingTZS 76, General method for determination of arsenic silver diethyldithiocarmate photometric methodTZS 109, Food processing units — Code of hygiene — GeneralTZS 268, General atomic absorption — Spectro — Photometric method for determination of lead in food stuffsTZS 288-2, Animal and vegetable fats and oils - Gas chromatography of fatty acid methyl esters - Part 2: Preparation of methyl esters of fatty acidsTZS 288-4, Animal and vegetable fats and oils - Gas chromatography of fatty acid methyl esters - Part 4: Determination by capillary gas chromatographyTZS 538, Packaging and labeling of foodsTZS 799, Foodstuffs — Determination of aflatoxin B1, and the total content of aflatoxins B1, B2, G1 and G2 in cereals, nuts and derived products — High-performance liquid chromatographic methodTZS 1313, Fortified edible oils and fats — SpecificationTZS 1322, Oils and fats — Sampling and test methods — Purity testTZS 1324, Animal and vegetable fats and oils — Determination of peroxide value-Iodometric (visual) end point determinationTZS 1325, Animal and vegetable fats and oils — Determination of saponification valueTZS 1326, Animal and vegetable fats and oils — Determination of moisture and volatile matterTZS 1327, Animal and vegetable fats and oils — Determination of iodine valueTZS 1328, Essential oils — Determination of relative density at 20 °C — Reference methodTZS 1329, Animal and vegetable fats and oils — Determination of refractive indexTZS 1331, Animal and vegetable fats and oils — Determination of acid value and acidityTZS 1332, Animal and vegetable fats and oils — Determination of unsaponifiable matter- method using diethyl ether extractionTZS 1335, Animal and vegetable fats and oils — Determination of copper, iron and nicke —content graphite furnace atomic absorptionTZS 1336, Animal and vegetable fats and oils — Determination of insoluble impurities content</t>
  </si>
  <si>
    <t>Proposed revisions of the Ordinance for Enforcement of the Plant Protection Act, relevant notifications and detailed rules</t>
  </si>
  <si>
    <t>The MAFF will revise Annexed Tables 1, 1-2, 2 and 2-2 of the Ordinance for Enforcement of the Plant Protection Act and the non-quarantine pest list to reflect the latest scientific evidence.Summary of the proposed revisions - Annex 1;Proposed revision of Annexed Table 1 of the Ordinance for Enforcement of the Plant Protection Act on list of the quarantine pest list - Annex 2;Proposed revision of Annexed Table 1-2 of the Ordinance for Enforcement of the Plant Protection Act on list of the plants and other objects subject to specific phytosanitary measures to be carried out in exporting countries - Annex 3;Proposed revision of Annexed Table 2 of the Ordinance for Enforcement of the Plant Protection Act on list of the import prohibited plants - Annex 4;Proposed revision of Annexed Table 2-2 of the Ordinance for Enforcement of the Plant Protection Act on list of the import prohibited plants (excluding the plants that meet the requirements) - Annex 5;Proposed revision of the non-quarantine pest list - Annex 6.The following emergency notifications will be withdrawn after the enforcement of this amendment:G/SPS/N/JPN/1326G/SPS/N/JPN/1335G/SPS/N/JPN/1360G/SPS/N/JPN/1376G/SPS/N/JPN/1379, and G/SPS/N/JPN/1385.</t>
  </si>
  <si>
    <t>Plant, plant products and other objects</t>
  </si>
  <si>
    <t>Proposed revisions of lists will enter into force after six months from the date of publication while the relevant emergency measures will remain effective until the date of entry into force. In relation to the proposed revisions, additional emergency notifications may be issued as needed._x000D_
The following revisions will enter into force on the day following the date of publication, as they are trade facilitating measures.:- Proposed deletion of Tuta absoluta of Annexed Table 1 in Annex 2;- Proposed deletion of Item 7 of Annexed Table 2-2 in Annex 5;- Proposed amendments of the non-quarantine pest list in Annex 6.</t>
  </si>
  <si>
    <r>
      <rPr>
        <sz val="11"/>
        <rFont val="Calibri"/>
      </rPr>
      <t>https://members.wto.org/crnattachments/2026/SPS/JPN/26_01274_00_e.pdf
https://members.wto.org/crnattachments/2026/SPS/JPN/26_01274_01_e.pdf
https://members.wto.org/crnattachments/2026/SPS/JPN/26_01274_02_e.pdf
https://members.wto.org/crnattachments/2026/SPS/JPN/26_01274_03_e.pdf
https://members.wto.org/crnattachments/2026/SPS/JPN/26_01274_04_e.pdf
https://members.wto.org/crnattachments/2026/SPS/JPN/26_01274_05_e.pdf</t>
    </r>
  </si>
  <si>
    <t>AFDC 19(3881) DTZS, Canola (Rapeseed) seeds for oil extraction — Specification, First edition </t>
  </si>
  <si>
    <t>This Tanzania Standard specifies requirements, sampling and testing methods for canola seeds of the species Brassica napus L., Brassica rapa L., Brassica juncea L. and Brassica tournefortii Gouan intended for oil extraction for human consumptionNote: This Draft Tanzania Standard was also notified under SPS committee.</t>
  </si>
  <si>
    <r>
      <rPr>
        <sz val="11"/>
        <rFont val="Calibri"/>
      </rPr>
      <t>https://members.wto.org/crnattachments/2026/TBT/TZA/26_01299_00_e.pdf</t>
    </r>
  </si>
  <si>
    <t>CXS 192, General standard for food additivesCXS 193, General Standard for Contaminants and Toxins in Food and FeedTZS 4, Rounding off numerical valuesTZS 109, Food processing units – Code of hygiene – GeneralTZS 538, Packaging and labeling of foodsTZS 742, Oleaginous seeds – SamplingTZS 799, Foodstuffs – Determination of aflatoxin B1, and the total content of aflatoxins B1, B2, G1 and G2 in cereals, nuts and derived products – High-performance liquid chromatographic methodTZS 1314 – 1, Oilseeds – Determination of content of impuritiesTZS 1314 – 2, Oilseeds – Determination of moisture and volatile matter contentTZS 1314 – 3, Oilseeds – Determination of oil content (Reference method)TZS 1314 – 4, Oilseeds – Determination of acidity of oilsTZS 288-4, Animal and vegetable fats and oils - Gas chromatography of fatty acid methyl esters – Part 4: Determination by capillary gas chromatography</t>
  </si>
  <si>
    <t>Proposed update to Technical Standard No. 170 on the registration of biosimilar biotechnology products</t>
  </si>
  <si>
    <t>The Republic of Chile hereby advises that the comment period for the proposed update to Ministry of Health Technical Standard No. 170 on the registration of biosimilar biotechnology products, notified by the World Trade Organization on 12 February 2026, has been extended until 13 April 2026.__________1 This information can be provided by including a website address, a PDF attachment, or other information on where the text of the final/modified measure and/or interpretative guidance can be obtained.</t>
  </si>
  <si>
    <t>Productos biotecnológicos biosimilares</t>
  </si>
  <si>
    <t>Philippines</t>
  </si>
  <si>
    <t>Draft Department Administrative Order (DAO) on the Implementing Guidelines Concerning The Mandatory Product Certification Of Novel Tobacco Products</t>
  </si>
  <si>
    <t>The shortened commenting period of fourteen (14) days is respectfully proposed in view of the urgent public health considerations surrounding the draft issuance. Recent regulatory actions of department underscore the need to ensure that only compliant Novel Tobacco Products remain available in the market. In light of these developments, an expedited commenting period is deemed necessary to allow the prompt adoption of regulatory measures that will protect consumers and preventfurther exposure to hazardous products.</t>
  </si>
  <si>
    <t>Tobacco, tobacco products and related equipment (ICS code(s): 65.160)</t>
  </si>
  <si>
    <r>
      <rPr>
        <sz val="11"/>
        <rFont val="Calibri"/>
      </rPr>
      <t>https://members.wto.org/crnattachments/2026/TBT/PHL/26_01260_00_e.pdf</t>
    </r>
  </si>
  <si>
    <t>Republic Act No. 11900 (RA11900), or the Vaporized Nicotine and Non-Nicotine Products Regulation ActDTI Department Administrative Order No. 22-06 (DAO22-06) (2022), as supplemented by DTI Department Administrative Order No. 24-02 (DAO24-02) (2024), provides for the Technical Regulation concerning the Mandatory Product Certification of Vaporized Nicotine and Non-Nicotine Products, their Devices, and Novel Tobacco Products</t>
  </si>
  <si>
    <t>Commission Implementing Regulation (EU) 2026/460 of 26 February 2026 concerning the renewal of the authorisation of thiamine hydrochloride and thiamine mononitrate as feed additives for all animal species and repealing Implementing Regulation (EU) 2015/897 (Text with EEA relevance)</t>
  </si>
  <si>
    <t>The substances covered by the Act were authorised for a period of 10 years as feed additives for all animal species in the additive category ‘nutritional additives’ and in the functional group ‘vitamins, pro-vitamins and chemically well-defined substances having similar effect’. An application was submitted for the renewal of the authorisation of these substances in accordance with article 14 of Regulation (EC) No 1831/2003. Based on the favourable conclusions of a scientific assessment of the dossier submitted by the applicant, conducted by the European Food Safety Authority (EFSA), the authorisation of these substances as feed additives for all animal species is renewed under certain conditions detailed in the Annex to the Act. A transitional period is included for the interested parties to meet the new authorisation’s requirements.</t>
  </si>
  <si>
    <r>
      <rPr>
        <sz val="11"/>
        <rFont val="Calibri"/>
      </rPr>
      <t>https://members.wto.org/crnattachments/2026/SPS/EEC/26_01269_00_e.pdf
https://members.wto.org/crnattachments/2026/SPS/EEC/26_01269_00_f.pdf
https://members.wto.org/crnattachments/2026/SPS/EEC/26_01269_00_s.pdf</t>
    </r>
  </si>
  <si>
    <t>Draft Order of the Ministry of Economy, Environment and Agriculture of Ukraine "On Amendments to Annex 2 to the Technical Regulation on Labelling the Materials Used to Manufacture the Main Components of Footwear for Sale to the Consumer"</t>
  </si>
  <si>
    <t>The draft Order proposes an amendment to Annex 2 of the Technical Regulation on Labelling the Materials Used to Manufacture the Main Components of Footwear for Sale to the Consumer, approved by Order of the Ministry of Economic Development and Trade of Ukraine No. 358 of 06 March 2019. The amendment introduces a new paragraph aligned with the final paragraph of Annex 2 to Directive 94/11/EC of the European Parliament and of the Council of 23 March 1994 on the approximation of the laws, regulations and administrative provisions of the Member States relating to labelling of the materials used in the main components of footwear for sale to the consumer, taking into account national legislation. The proposed paragraph reads as follows:“The scope of the Technical Regulation  on Labelling the Materials Used to Manufacture the Main Components of Footwear for Sale to the Consumer extends to products included in Group 64 of the Ukrainian Classification of Goods for Foreign Economic Activity (UKT ZED), and which, according to the definition of the term “footwear” belong to the types of footwear listed in this Annex, taking into account the provisions of paragraph 4 of the said Technical Regulation”.The draft Order has been developed to ensure full alignment of the Technical Regulation with Directive 94/11/EC.</t>
  </si>
  <si>
    <t>Footwear</t>
  </si>
  <si>
    <t>64 - FOOTWEAR, GAITERS AND THE LIKE; PARTS OF SUCH ARTICLES</t>
  </si>
  <si>
    <t>61.060 - Footwear</t>
  </si>
  <si>
    <t>Consumer information, labelling (TBT); Harmonization (TBT)</t>
  </si>
  <si>
    <t>The Order will enter into force  six months after the date of its official publication.</t>
  </si>
  <si>
    <r>
      <rPr>
        <sz val="11"/>
        <rFont val="Calibri"/>
      </rPr>
      <t>https://members.wto.org/crnattachments/2026/TBT/UKR/26_01270_00_x.pdf</t>
    </r>
  </si>
  <si>
    <t>The Laws of Ukraine “On Technical Regulations and Conformity Assessment”, “On the Customs Tariff of Ukraine”;Order of the Ministry of Economic Development and Trade of Ukraine No. 358 "On Approval of the Technical Regulation on Labelling the Materials Used to Manufacture the Main Components of Footwear for Sale to the Consumer" of 06 March 2019</t>
  </si>
  <si>
    <t>Kyrgyz Republic</t>
  </si>
  <si>
    <t>Draft Amendments No. 1 to the Technical regulation of the Eurasian Economic Commission «On Requirements to Energy Efficiency of Energy Consuming Devices» (TR EAEU 048/2019)</t>
  </si>
  <si>
    <t>Adjustment of certain provisions of the technical regulations in terms of editorial changes based on the results of application practice, clarification of requirements for certain types of products and energy efficiency classes </t>
  </si>
  <si>
    <t xml:space="preserve">Energy Consuming Devices_x000D_
</t>
  </si>
  <si>
    <t>29 - ELECTRICAL ENGINEERING; 97 - DOMESTIC AND COMMERCIAL EQUIPMENT. ENTERTAINMENT. SPORTS</t>
  </si>
  <si>
    <r>
      <rPr>
        <sz val="11"/>
        <rFont val="Calibri"/>
      </rPr>
      <t>https://members.wto.org/crnattachments/2026/TBT/KGZ/26_01268_00_x.pdf
https://members.wto.org/crnattachments/2026/TBT/KGZ/26_01268_01_x.pdf</t>
    </r>
  </si>
  <si>
    <t>Reglamento Técnico. Tecnología de los alimentos. Productos lácteos. Leche líquida saborizada. Especificaciones (Technical Regulations: Food technology. Milk products. Flavoured liquid milk. Specifications).</t>
  </si>
  <si>
    <t>The notified Technical Regulations establish the technical requirements that liquid milk with flavours must meet.</t>
  </si>
  <si>
    <t>Milk and processed milk products (ICS code: 67.100.10)</t>
  </si>
  <si>
    <t>0402 - Milk and cream, concentrated or containing added sugar or other sweetening matter</t>
  </si>
  <si>
    <r>
      <rPr>
        <sz val="11"/>
        <rFont val="Calibri"/>
      </rPr>
      <t>https://members.wto.org/crnattachments/2026/SPS/PAN/26_01244_00_s.pdf</t>
    </r>
  </si>
  <si>
    <t>Susceptible Species of Aquatic Animals List</t>
  </si>
  <si>
    <t>Canada is seeking comments on the Susceptible Species of Aquatic Animals List (SSL) to add or remove species as well as change the diseases of concern associated with species currently on the SSL. These updates are to align with changes to the species listed in the disease specific chapters of the World Organisation for Animal Health (WOAH) Aquatic Animal Health Code.Canada will be removingthe disease Bonamia ostreaefrom the following species and removing the species from the SSLOstrea lutaria. Canada will be removingthe disease Bonamia exitiosafrom the following species and removing the species from the SSLSaccostrea glomerataCanada will be adding the disease Bonamia exitiosato the following species and adding the species to the SSLOstrea equestris;Ostrea lurida.Canada will be removing the disease Bonamia exitiosato the following species:Crassostrea gigas.Canada will be adding the disease Bonamia exitiosato the following species:Magallana ariakensis;Ostrea puelchana.Canada will be removingthe diseasesAbalone herpesvirus and Xenohaliotis californiensisfrom the following species and removing the species from the SSLHaliotis discus hannai.Canada will be removingthe diseaseMarteilia refringensfrom the following species and removing the species from the SSLOstrea denselamellosa.Canada will be addthe diseaseMarteilia refringensfrom the following species and add the species from the SSLOstrea stentinaXenostrobus securesCanada will be removingthe diseaseMarteilia refringensfrom the following species:Ostrea angasi;Ostrea chilensis;Ostrea puelchana.Canada will be adding the disease Xenohaliotis californiensisto the following species and adding the species to the SSLHaliotis discus discus.Canada will be removing the disease Xenohaliotis californiensisto the following species and removing the species from the SSLHaliotis wallalensis.Canada will also make changes to the susceptibility for the following non-WOAH listed diseases.Canada will be adding the disease Haplosporidium nelsonito the following species and adding the species to the SSLMizuhopecten yessoensis.Canada will be adding the disease Mikrocytos mackinito the following species and adding the species to the SSLMagallana sikamea.Import permit and zoosanitary export certification may be required for export to Canada of species on the SSL. Therefore, it is the responsibility of the certifying official in the exporting country to refer to Canada's SSL to review the diseases of concern for the species presented for export to ensure Canadian requirements can be met.</t>
  </si>
  <si>
    <t>Susceptible species of aquatic animals</t>
  </si>
  <si>
    <t>When the final changes are published on the Government of Canada website. To be determined.</t>
  </si>
  <si>
    <t>Letter of the Federal Service for Veterinary and Phytosanitary Surveillance No. FS-ARe-7/6962-3 as of 29 January 2026</t>
  </si>
  <si>
    <t>This letter introduces temporary restrictions on the imports of products mentioned in point 3 to the Russian Federation, as well as on the transit of cattle, small cattle and animals susceptible to bluetongue through the territory of the Russian Federation from Ireland due to the registration of bluetongue disease outbreaks.</t>
  </si>
  <si>
    <t>Cattle; small cattle; wild, zoo and circus animals susceptible to bluetongue, camels and other members of the camel family; sperm of bulls, sheep and goat-producers; cattle and small cattle embryos; meat of wild small ruminants (HS code(s): 0102; 0104; 0106; 051199)</t>
  </si>
  <si>
    <t>0102 - Live bovine animals; 0104 - Live sheep and goats; 0106 - Live animals (excl. horses, asses, mules, hinnies, bovine animals, swine, sheep, goats, poultry, fish, crustaceans, molluscs and other aquatic invertebrates, and microorganic cultures etc.); 051199 - Products of animal origin, n.e.s., dead animals, unfit for human consumption (excl. fish, crustaceans, molluscs or other aquatic invertebrates)</t>
  </si>
  <si>
    <t>Animal diseases; Animal health; Bluetongue; Pest- or Disease- free Regions / Regionalization</t>
  </si>
  <si>
    <t>Ireland</t>
  </si>
  <si>
    <r>
      <rPr>
        <sz val="11"/>
        <rFont val="Calibri"/>
      </rPr>
      <t>https://members.wto.org/crnattachments/2026/SPS/RUS/26_01267_00_x.pdf
https://fsvps.gov.ru/files/ukazanie-rosselhoznadzora-ot-29-janvarja-2026-goda-fs-arje-7-6962-3/</t>
    </r>
  </si>
  <si>
    <t>Commission Regulation (EU) 2026/196 of 28 January 2026 amending Regulation (EC) No 1333/2008 of the European Parliament and of the Council as regards the use of carrageenan (E 407), locust bean gum (E 410), guar gum (E 412), gum arabic (acacia gum) (E 414), xanthan gum (E 415), pectins (E 440) and starch sodium octenyl succinate (E 1450) and Commission Regulation (EU) No 231/2012 as regards specifications for locust bean gum (E 410), guar gum (E 412), gum arabic (acacia gum) (E 414), xanthan gum (E 415), pectins (E 440) and starch sodium octenyl succinate (E 1450) (Text with EEA relevance)</t>
  </si>
  <si>
    <t>Commission Regulation (EU) 2026/196 amends Regulation (EC) No 1333/2008 as regards the use of carrageenan (E 407), locust bean gum (E 410), guar gum (E 412), gum arabic (acacia gum) (E 414), xanthan gum (E 415), pectins (E 440) and starch sodium octenyl succinate (E 1450), and Commission Regulation (EU) No 231/2012 as regards specifications for locust bean gum (E 410), guar gum (E 412), gum arabic (acacia gum) (E 414), xanthan gum (E 415), pectins (E 440) and starch sodium octenyl succinate (E 1450).The safety of the mentioned food additives was re-evaluated by the European Food Safety Authority (EFSA) in the context of the EU programme for the re-evaluation of approved food additives. In its scientific opinions on the follow-up to the re-evaluation of the above-mentioned food additives, EFSA recommended some modifications to the existing EU specifications. In line with the EFSA opinions, the draft measure proposes to lower or include maximum limits for toxic elements present as impurities, to include maximum limits for aluminium present as impurity, to include the maximum protein content and to harmonise the microbiological criteria among the different hydrocolloids. Since the submitted data for guar gum (E 412) are not sufficient to support the safe use in food for infants and young children, the draft measure proposes to withdraw the authorisation for guar gum in the relevant food categories. As regards the EFSA recommendation related to the need for an absence of a residual enzyme activity for xanthan gum (E 415), there must be step(s) in the production process where enzymes are removed or inactivated to avoid reacting with the foods to which E 415 is added.For locust bean gum (E 410), pectins (E 440) and starch sodium octenyl succinate (E 1450), the draft proposes to lower their maximum levels for food for infants and young children as the dietary exposure from those foods is too high in comparison to the identified reference point.</t>
  </si>
  <si>
    <t>Food products</t>
  </si>
  <si>
    <t>This Regulation shall enter into force on the twentieth day following that of its publication in the Official Journal of the European Union. It shall apply from 18 August 2026 or 27 April 2027 depending on the food category.</t>
  </si>
  <si>
    <r>
      <rPr>
        <sz val="11"/>
        <rFont val="Calibri"/>
      </rPr>
      <t>https://members.wto.org/crnattachments/2026/SPS/EEC/26_01264_00_e.pdf
https://members.wto.org/crnattachments/2026/SPS/EEC/26_01264_00_f.pdf
https://members.wto.org/crnattachments/2026/SPS/EEC/26_01264_00_s.pdf</t>
    </r>
  </si>
  <si>
    <t>The food additive specifications of locust bean gum (E 410) developed by JECFA do not contain maximum levels for mercury and cadmium, and microbiological criteria for Enterobacteriaceae. 
For guar gum (E 412), the food additive specifications developed by JECFA do not contain maximum levels for arsenic, mercury and cadmium, and microbiological criteria for Enterobacteriaceae. 
For gum arabic (E 414), the food additive specifications developed by JECFA do not contain maximum levels for arsenic, mercury, cadmium and aluminium, and microbiological criteria for total plate count, yeast and moulds and Enterobacteriaceae.
For xanthan gum (E 415), the food additive specifications developed by JECFA do not contain requirement on residual enzyme activity, maximum levels for arsenic, mercury and cadmium, and microbiological criteria for Enterobacteriaceae.
For pectin (E 440 (i)) and amidated pectin (E 440 (ii)), the food additive specifications developed by JECFA do not contain maximum levels for arsenic, mercury, cadmium and aluminium, and microbiological criteria. 
For starch sodium octenyl succinate (E 1450), the food additive specifications developed by JECFA do not contain maximum levels for arsenic and mercury.</t>
  </si>
  <si>
    <t>Letter of the Federal Service for Veterinary and Phytosanitary Surveillance as of 26 February 2026 No. FS-ARe-7/7048-3</t>
  </si>
  <si>
    <t>This letter introduces temporary restrictions on the imports of certain animals susceptible to foot-and-mouth disease and products derived thereof, as well as on the transit of animals susceptible to foot-and-mouth disease from Cyprus to the territory of the Russian Federation due to the deterioration of foot-and-mouth disease epizootic situation in the country indicated.</t>
  </si>
  <si>
    <t>Animals susceptible to foot-and-mouth disease and products derived thereof (HS code(s): 0102; 0103; 010613; 0201; 0202; 0203; 0204; 0205; 0206; 0209; 0210; 04; 051110; 051199; 2309; 430180; 430190; 430390; 843680; 970529)</t>
  </si>
  <si>
    <t>Animal diseases; Animal health; Foot and mouth disease; Pest- or Disease- free Regions / Regionalization</t>
  </si>
  <si>
    <t>Cyprus</t>
  </si>
  <si>
    <r>
      <rPr>
        <sz val="11"/>
        <rFont val="Calibri"/>
      </rPr>
      <t>https://members.wto.org/crnattachments/2026/SPS/RUS/26_01265_00_x.pdf
https://fsvps.gov.ru/files/ukazanie-rosselhoznadzora-ot-26-fevralya-2026-goda-№-fs-are-7-7048-3/</t>
    </r>
  </si>
  <si>
    <t>The Resolution approves the Procedure for the implementation of a pilot project for the electronic submission and publication of information (reporting) on the ingredients and emissions of tobacco products and has been developed to implement the provisions of Article 11-1 of the Law of Ukraine "On Measures to Prevent and Reduce the Use of Tobacco Products and Their Harmful Impact on Public Health". Pursuant to this Resolution, manufacturers and importers of tobacco products and herbal smoking products shall submit electronic reports on the ingredients of tobacco products, herbal smoking products and their emissions through the “eTobacco” system.Such reporting shall be submitted for the first time within three months after information on the launch of the “eTobacco” system is published on the official website of the State Service of Ukraine for Food Safety and Consumer Protection. Reporting shall be submitted in accordance with the procedure established under Article 11-1 of the Law of Ukraine Measures to Prevent and Reduce the Use of Tobacco Products and Their Harmful Impact on Public Health", as determined by the Ministry of Health of Ukraine.The use of the “eTobacco” system, as well as the creation, processing, protection and transmission of information through the system, shall be provided free of charge. On behalf of manufacturers/importers of tobacco products, the “eTobacco” system shall be used by the head of the entity and/or their authorized representatives. Access to the “eTobacco” system shall be provided to users through their electronic user accounts.The Resolution also provides that the pilot project on the electronic submission and publication of information (reporting) on the ingredients and emissions of tobacco products shall be implemented for a period of two years from the date of entry into force of this Resolution.This pilot project is consistent with the provisions of Directive 2014/40/EU of the European Parliament and of the Council of 3 April 2014 on the approximation of the laws, regulations and administrative provisions of the Member States concerning the manufacture, presentation and sale of tobacco and related products and repealing Directive 2001/37/EC, Commission Implementing Decision (EU) 2015/2186 of 25 November 2015 establishing a format for the submission and making available of information on tobacco products and Commission Implementing Decision (EU) 2016/787 of 18 May 2016 laying down a priority list of additives contained in cigarettes and roll-your-own tobacco subject to enhanced reporting obligations. The digital platform “eTobacco” is designed as a prototype of the EU Common Entry Gate (EU-CEG).</t>
  </si>
  <si>
    <t>24 - TOBACCO AND MANUFACTURED TOBACCO SUBSTITUTES; PRODUCTS, WHETHER OR NOT CONTAINING NICOTINE, INTENDED FOR INHALATION WITHOUT COMBUSTION; OTHER NICOTINE CONTAINING PRODUCTS INTENDED FOR THE INTAKE OF NICOTINE INTO THE HUMAN BODY</t>
  </si>
  <si>
    <r>
      <rPr>
        <sz val="11"/>
        <rFont val="Calibri"/>
      </rPr>
      <t>https://zakon.rada.gov.ua/laws/show/233-2026-%D0%BF#Text</t>
    </r>
  </si>
  <si>
    <t>Laws of Ukraine "On Measures to Prevent and Reduce the Use of Tobacco Products and Their Harmful Impact on Public Health", "On State Regulation of the Production and Circulation of Ethyl Alcohol, Alcohol Distillates, Bioethanol, Alcoholic Beverages, Tobacco Products, Tobacco Raw Materials, Liquids Used in Electronic Cigarettes, and Fuel"</t>
  </si>
  <si>
    <t>DEAS 1313: 2025 Solid waste management of healthcare waste ─Specification</t>
  </si>
  <si>
    <t>This Draft East African Standard specifies requirements for management of health care wastes from generation, segregation, storage, transportation, treatment by incineration and autoclaving to final disposal. It applies to wastes arising from activities such as medical, dental, veterinary practice, pathology and pharmaceutical laboratories, health care and home based care services, medical emergency services, blood banks, mortuaries, saloons, tattooing and body piercing establishments.</t>
  </si>
  <si>
    <t>Solid wastes (ICS code(s): 13.030.10)</t>
  </si>
  <si>
    <t>13.030.10 - Solid wastes</t>
  </si>
  <si>
    <t>Protection of the environment (TBT); Quality requirements (TBT); Harmonization (TBT)</t>
  </si>
  <si>
    <r>
      <rPr>
        <sz val="11"/>
        <rFont val="Calibri"/>
      </rPr>
      <t>https://members.wto.org/crnattachments/2026/TBT/KEN/26_01258_00_e.pdf</t>
    </r>
  </si>
  <si>
    <t>EAS 491, Specification for incineration plants for hospital waste EAS 492, Method of test and calculation for performance of hospital waste incinerators</t>
  </si>
  <si>
    <t>Notification of revision of the Enforcement Ordinance of the Act on the Protection of Fishery Resources</t>
  </si>
  <si>
    <t>MAFF proposed revision of the Enforcement Ordinance of the Act on the Protection of Fishery Resources to add a disease and target animals subject to import quarantine (for aquaculture) in the notification G/SPS/N/JPN/1378 (dated 10 December 2025). The revision of the Enforcement Ordinance of the Act on the Protection of Fishery Resources will be published on 9 March 2026 and enter into force on 9 June 2026. Bilateral consultations with countries that have exported to Japan the crustaceans for aquaculture, which are subject to import quarantine as targeted aquatic animals, have confirmed that three months would be sufficient for the exporting countries to adapt to the revised health requirements.</t>
  </si>
  <si>
    <t>Live crustaceans limited to Penaeidae and Palaemonidae, and live molluscs limited to Haliotis rubra and Haliotis laevigata, and their aquatic animal products for aquaculture</t>
  </si>
  <si>
    <t>0306 - Crustaceans, whether in shell or not, live, fresh, chilled, frozen, dried, salted or in brine, even smoked, incl. crustaceans in shell cooked by steaming or by boiling in water; 030791 - Live, fresh or chilled molluscs, even in shell (excl. oysters, scallops of the genera Pecten, Chlamys or Placopecten, mussels "Mytilus spp., Perna spp.", cuttle fish and squid, octopus "Octopus spp.", snails other than sea snails, clams, cockles and ark shells, abalone and stromboid conchs); 030791 - Live, fresh or chilled molluscs, even in shell (excl. oysters, scallops of the genera Pecten, Chlamys or Placopecten, mussels "Mytilus spp., Perna spp.", cuttle fish and squid, octopus "Octopus spp.", snails other than sea snails, clams, cockles and ark shells, abalone and stromboid conchs); 0306 - Crustaceans, whether in shell or not, live, fresh, chilled, frozen, dried, salted or in brine, even smoked, incl. crustaceans in shell cooked by steaming or by boiling in water</t>
  </si>
  <si>
    <t>Animal diseases; Adoption/publication/entry into force of reg.; Animal health; Animal health; Animal diseases</t>
  </si>
  <si>
    <t>Public Consultation No. 48, 11 December 2024</t>
  </si>
  <si>
    <t>Proposal for technical requirements and operational procedure for the conformity assessment of data centers that are part of telecommunications networks.</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</si>
  <si>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</si>
  <si>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t>
  </si>
  <si>
    <t>33 - Telecommunications. Audio and video engineering</t>
  </si>
  <si>
    <r>
      <rPr>
        <sz val="11"/>
        <rFont val="Calibri"/>
      </rPr>
      <t>https://members.wto.org/crnattachments/2026/TBT/BRA/26_01248_00_x.pdf</t>
    </r>
  </si>
  <si>
    <t>Guía Técnica - Tecnología de los alimentos. Productos lácteos. Toma de muestra y métodos de análisis (Technical Guide - Food Technology. Milk products. Sampling and Analysis Methods).</t>
  </si>
  <si>
    <t>This Technical Guide establishes the technical guidelines for sampling and analysis methods applicable to milk and milk products that are produced in, imported into, distributed and marketed in the Republic of Panama, to ensure standardized procedures, guarantee the quality and safety of products, and support control and verification actions undertaken by the competent authorities.</t>
  </si>
  <si>
    <t>Milk and milk products in general (ICS code: 67.100.01)</t>
  </si>
  <si>
    <t>04 - DAIRY PRODUCE; BIRDS' EGGS; NATURAL HONEY; EDIBLE PRODUCTS OF ANIMAL ORIGIN, NOT ELSEWHERE SPECIFIED OR INCLUDED</t>
  </si>
  <si>
    <t>67.100.01 - Milk and milk products in general</t>
  </si>
  <si>
    <r>
      <rPr>
        <sz val="11"/>
        <rFont val="Calibri"/>
      </rPr>
      <t>https://members.wto.org/crnattachments/2026/SPS/PAN/26_01223_00_s.pdf</t>
    </r>
  </si>
  <si>
    <t>G/SPS/N/PAN/114- 2 -</t>
  </si>
  <si>
    <t>Reglamento Técnico - Tecnología de los alimentos. Productos lácteos. Cheddar. Especificaciones (Technical Regulations - Food technology. Milk products. Cheddar. Specifications).</t>
  </si>
  <si>
    <t>The notified Technical Regulations establish the technical and sanitary provisions for cheddar cheese. They apply to the manufacturing, handling, distribution and marketing of this product.</t>
  </si>
  <si>
    <t>Cheese (ICS code: 67.100.30)</t>
  </si>
  <si>
    <r>
      <rPr>
        <sz val="11"/>
        <rFont val="Calibri"/>
      </rPr>
      <t>https://members.wto.org/crnattachments/2026/SPS/PAN/26_01224_00_s.pdf</t>
    </r>
  </si>
  <si>
    <t>DEAS 1311: 2025 Non-hazardous waste management —Specification</t>
  </si>
  <si>
    <t>This Draft East African Standard specifies requirements for non-hazardous waste discharge from homes, institutions, industries and business areas. It covers all stages from generation, segregation, collection, transportation, recycling and disposal.</t>
  </si>
  <si>
    <t>Wastes in general (ICS code(s): 13.030.01)</t>
  </si>
  <si>
    <t>13.030.01 - Wastes in general</t>
  </si>
  <si>
    <r>
      <rPr>
        <sz val="11"/>
        <rFont val="Calibri"/>
      </rPr>
      <t>https://members.wto.org/crnattachments/2026/TBT/KEN/26_01251_00_e.pdf</t>
    </r>
  </si>
  <si>
    <t>ISO 24161, Waste collection and transportation management—Vocabulary</t>
  </si>
  <si>
    <t>DEAS 1312: 2025 Waste tyres management —Specification</t>
  </si>
  <si>
    <t>This Draft East African Standard specify requirements for generation, collection, transportation, storage, utilization and disposal of waste tyres. It covers waste tyres arising from individual and institutional level.</t>
  </si>
  <si>
    <r>
      <rPr>
        <sz val="11"/>
        <rFont val="Calibri"/>
      </rPr>
      <t>https://members.wto.org/crnattachments/2026/TBT/KEN/26_01254_00_e.pdf</t>
    </r>
  </si>
  <si>
    <t>ISO 24161, Waste collection and transportation management — Vocabulary</t>
  </si>
  <si>
    <t>Designation of Shitei Yakubutsu (designated substances), based on the Act on Securing Quality, Efficacy and Safety of Products Including Pharmaceuticals and Medical Devices (hereinafter referred to as the Act). (1960, Law No.145)</t>
  </si>
  <si>
    <t>Proposal for the additional designation of 4 substances as ShiteiYakubutsu, and their proper uses under the Act.</t>
  </si>
  <si>
    <t>Substances with probable effects on the central nervous system</t>
  </si>
  <si>
    <t>30 - PHARMACEUTICAL PRODUCTS</t>
  </si>
  <si>
    <t>11.120 - Pharmaceutics</t>
  </si>
  <si>
    <t>In order to prevent the abuse of substances with probable effects on the central nervous system and to clarify the regulation under the Act, the MHLW designates such substances as Shitei Yakubutsu. Manufacture, import, sale, simple ownership and the use of ShiteiYakubutsu are banned except for the proper uses designated under the Act.</t>
  </si>
  <si>
    <r>
      <rPr>
        <sz val="11"/>
        <rFont val="Calibri"/>
      </rPr>
      <t>https://members.wto.org/crnattachments/2026/TBT/JPN/26_01250_00_e.pdf</t>
    </r>
  </si>
  <si>
    <t>The Act on Securing Quality, Efficacy and Safety of Products Including Pharmaceuticals and Medical Devices.https://www.japaneselawtranslation.go.jp/en/laws/view/3213When adopted, Shitei Yakubutsu (designated substances) and their proper uses will be publicized in the Official Gazette, KAMPO</t>
  </si>
  <si>
    <t>DEAS 1314: 2025 Electrical and electronic waste management — Specification</t>
  </si>
  <si>
    <t>This Draft East African Standard specify the requirements and responsibilities for the safe and environmentally sound handling, collection, transport, refurbishment, dismantling, recycling, storage and disposal of electrical and electronic waste. It excludes radioactive waste.</t>
  </si>
  <si>
    <t>Recycling (ICS code(s): 13.030.50)</t>
  </si>
  <si>
    <t>13.030.50 - Recycling</t>
  </si>
  <si>
    <r>
      <rPr>
        <sz val="11"/>
        <rFont val="Calibri"/>
      </rPr>
      <t>https://members.wto.org/crnattachments/2026/TBT/KEN/26_01257_00_e.pdf</t>
    </r>
  </si>
  <si>
    <t>ISO 14001, Environmental management systems — Requirements with guidance for use ISO 45001, Occupational health and safety management systems — Requirements with guidance for use</t>
  </si>
  <si>
    <t>Public Consultation No. 10, 24 February 2026</t>
  </si>
  <si>
    <t>Proposal for the establishment of technical requirements for the conformity assessment of transmitters and retransmitters of the brazilian second-generation digital terrestrial television system (ATSC 3.0).</t>
  </si>
  <si>
    <r>
      <rPr>
        <sz val="11"/>
        <rFont val="Calibri"/>
      </rPr>
      <t>https://members.wto.org/crnattachments/2026/TBT/BRA/26_01239_00_x.pdf</t>
    </r>
  </si>
  <si>
    <t>SEI process number 53500.006932/2026-39 (access process documentsOfficial Gazette of the Union Edition: 23 | Section: 1 | Page: 9 https://www.in.gov.br/en/web/dou/-/consulta-publica-n-10-de-24-de-fevereiro-de-2026-688669741</t>
  </si>
  <si>
    <t>Draft Commission Regulation amending Annexes II and III to Regulation (EC) No 396/2005 of the European Parliament and of the Council as regards maximum residue levels for difenoconazole in or on certain products (Text with EEA relevance)</t>
  </si>
  <si>
    <t>The proposed draft Regulation concerns the review of existing MRLs for difenoconazole in certain food commodities. Some MRLs for this substance are increased and some MRLs in certain commodities are lowered. Lower MRLs are set after deleting old uses which are not authorised any more in the European Union. The proposed draft Regulation also addresses import tolerances in various crops. </t>
  </si>
  <si>
    <t>10 - CEREALS; 02 - MEAT AND EDIBLE MEAT OFFAL; 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0210 - Meat and edible offal, salted, in brine, dried or smoked; edible flours and meals of meat or meat offal; 1001 - Wheat and meslin; 1002 - Rye; 1003 - Barley; 1004 - Oats; 1005 - Maize or corn; 1006 - Rice; 1007 - Grain sorghum; 1008 - Buckwheat, millet, canary seed and other cereals (excl. wheat and meslin, rye, barley, oats, maize, rice and grain sorghum)</t>
  </si>
  <si>
    <t>Human health; Food safety; Maximum residue limits (MRLs)</t>
  </si>
  <si>
    <t>This Regulation shall enter into force on the twentieth day following that of its publication in the Official Journal of the European Union, and apply six months thereafter.</t>
  </si>
  <si>
    <r>
      <rPr>
        <sz val="11"/>
        <rFont val="Calibri"/>
      </rPr>
      <t>https://members.wto.org/crnattachments/2026/SPS/EEC/26_01243_00_e.pdf
https://members.wto.org/crnattachments/2026/SPS/EEC/26_01243_01_e.pdf
https://members.wto.org/crnattachments/2026/SPS/EEC/26_01243_02_e.pdf
https://members.wto.org/crnattachments/2026/SPS/EEC/26_01243_03_e.pdf</t>
    </r>
  </si>
  <si>
    <t>The European Food Safety Authority published reasoned opinion on the existing MRLs for difenoconazole. Based on the opinion, Regulation (EC) No 396/2005 should be amended following a risk analysis approach.
The current EU policy is to align EU MRLs with CXLs if the following conditions are fulfilled: (i) that the European Union sets MRLs for the commodity under consideration; (ii) that the current EU MRL is lower than the CXL; and (iii) that the CXL is acceptable to the EU with respect to its policy objective of ensuring a high level of consumer protection, including aspects on supporting data and extrapolations. 
Where the EU considers that a proposed CXL is not acceptable, it makes a reservation to the Codex Committee on Pesticide Residues (CCPR). Reservations made by the EU, concerning some of the active substances envisaged by the draft Regulation, are listed in the relevant CCPR reports: http://www.fao.org/fao-who-codexalimentarius/committees/committee/related-meetings/en/?committee=CCPR</t>
  </si>
  <si>
    <t>DraftCommission Regulation amending Annex III to Regulation (EC) No 1925/2006 of the European Parliament and of the Council as regards monacolins from red yeast rice (Text with EEA relevance)</t>
  </si>
  <si>
    <t>This draft Commission Regulation aims to prohibit the use of monacolins from red yeast rice in food based on the scientific opinion of EFSA and following a period of Union scrutiny during which food business operators, or any other interested parties, may submit scientific data to demonstrate the safety of plant preparations in question.On 25 June 2018, EFSA adopted a scientific opinion on the safety of monacolins in red yeast rice. In that opinion, it considered that the available information on the adverse effects reported in humans was judged to be sufficient to conclude that monacolins from red yeast rice were of significant safety concern at intake levels as low as 3 mg/day. EFSA was unable to provide advice on a daily intake of monacolins from red yeast rice that does not give rise to concerns for human health. Considering the significant harmful effect on health associated with the use of monacolins at levels as low as 3 mg/day and that no safe daily intake level could be set, the use of the substance in food was restricted and at the same time placed under Union scrutiny by means of Regulation (EU) 2022/860 of 1 June 2022 for a period of four years from the entry into application of that Regulation. On 29 January 2025, EFSA adopted a scientific opinion on additional scientific data related to the safety of monacolins from red yeast rice submitted pursuant to Article 8(4) of Regulation (EC) No 1925/2006. In its opinion, EFSA concluded that the data submitted by interested parties during the Union scrutiny period do not allow establishing the safety of monacolins from red yeast rice at intake levels below 3 mg/day or identifying a safe daily intake of monacolins from red yeast rice. Therefore, pursuant to the procedure of Article 8(5) of Regulation (EC) No 1925/2006, monacolins from red yeast rice should be included in Part A of Annex III to Regulation (EC) No 1925/2006, which means that their use in food will be prohibited.</t>
  </si>
  <si>
    <t>Q3 2026</t>
  </si>
  <si>
    <t>This Regulation shall enter into force on the twentieth day following that of its publication in the Official Journal of the European UnionFoodstuffs containing monacolins from red yeast rice, which were lawfully placed on the market before the entry into force of this Regulation may remain on the market until [entry into force + 12 months</t>
  </si>
  <si>
    <r>
      <rPr>
        <sz val="11"/>
        <rFont val="Calibri"/>
      </rPr>
      <t>https://members.wto.org/crnattachments/2026/SPS/EEC/26_01242_00_e.pdf</t>
    </r>
  </si>
  <si>
    <t>Reglamento Técnico - Tecnología de los alimentos. Productos lácteos. Mozarella. Especificaciones. (Technical Regulations: Food Technology. Dairy products. Mozzarella. Specifications.)</t>
  </si>
  <si>
    <t>The notified Technical Regulations establish the technical and sanitary, and quality provisions for mozzarella cheese. They apply to the manufacturing, handling, distribution and marketing of this product.</t>
  </si>
  <si>
    <r>
      <rPr>
        <sz val="11"/>
        <rFont val="Calibri"/>
      </rPr>
      <t>https://members.wto.org/crnattachments/2026/SPS/PAN/26_01225_00_s.pdf</t>
    </r>
  </si>
  <si>
    <t>G/SPS/N/PAN/116- 2 -</t>
  </si>
  <si>
    <t>Regulations on the classification, labelling and notification of chemical substances and mixtures</t>
  </si>
  <si>
    <t>With respect to the Regulations on the classification, labelling and notification of chemical substances and mixtures, Supreme Decree No. 57/2019 of the Ministry of Health, the Republic of Chile hereby advises that Exempt Resolution No. 9.425 of the Ministry of the Environment, approving the list of hazardous substances for non-industrial use notified in 2025, was published on 2 January 2025, in accordance with the provisions of Supreme Decree No. 57/2019.__________1 This information can be provided by including a website address, a PDF attachment, or other information on where the text of the final/modified measure and/or interpretative guidance can be obtained.</t>
  </si>
  <si>
    <t>Chemical substances and mixtures</t>
  </si>
  <si>
    <t>71 - CHEMICAL TECHNOLOGY; 71 - CHEMICAL TECHNOLOGY</t>
  </si>
  <si>
    <t>Protección de la salud de las personas y el medio ambiente.</t>
  </si>
  <si>
    <r>
      <rPr>
        <sz val="11"/>
        <rFont val="Calibri"/>
      </rPr>
      <t>https://members.wto.org/crnattachments/2026/TBT/CHL/26_01247_00_s.pdf</t>
    </r>
  </si>
  <si>
    <t>DKS 3050-2: 2025 Fire Doors and Door-sets — Specification</t>
  </si>
  <si>
    <t>This draft standard establishes the requirements for the design, materials, and construction of fire-rated metal and wooden doors, specifically swing doors, sliding doors, and roller shutters. The standard also provides requirements for the supply, installation, and routine maintenance of fire door assemblies. The scope extends to the necessary protection of door or wall openings, including the adjoining floors and ceilings, to ensure effective fire and smoke compartmentation within a structure and prevent the spread of smoke. This draft standard does not cover doors that are vertical sliding, or swinging doors used in hoist-way doors for lifts and dumbwaiters. Fire safety curtains and vault doors are also not covered in this standard.</t>
  </si>
  <si>
    <t>Doors and windows (ICS code(s): 91.060.50)</t>
  </si>
  <si>
    <t>91.060.50 - Doors and windows</t>
  </si>
  <si>
    <r>
      <rPr>
        <sz val="11"/>
        <rFont val="Calibri"/>
      </rPr>
      <t>https://members.wto.org/crnattachments/2026/TBT/KEN/26_01236_00_e.pdf</t>
    </r>
  </si>
  <si>
    <t>KS ISO 3575:2025, Continuous hot-dip zinc-coated and zinc-iron alloy-coated carbon steel sheet of commercial and drawing qualities. KS ISO 3008-1 Fire resistance tests — Door and shutter assemblies —Part 1: General requirements ISO 834-1, Fire-resistance tests — Elements of building construction — Part 1: General requirements ISO 834-8, Fire-resistance tests — Elements of building construction — Part 8: Specific requirements for non-load bearing vertical separating elements ISO 3009, Fire-resistance tests — Elements of building construction — Glazed elements KS ISO 13943, Fire safety — Vocabulary KS ISO 8275:2023 Hinged or pivoted doors — Determination of the resistance to vertical load KS ISO/IEC 17025, General requirements for the competence of testing and calibration laboratories EN 1154 – Controlled Door Closing Devices EN 1935– Single-Axis Hinges EN 1155 – Covers door closers with electrically powered hold-open functionality. EN 1158 – Pertains to door closer coordinators, such as those used with double doors.</t>
  </si>
  <si>
    <t>Pesticide Tolerances; Implementing Registration Review Decisions 
for Certain Pesticides; Maleic Hydrazide, et al.</t>
  </si>
  <si>
    <t>The Environmental Protection Agency (EPA or Agency) is 
finalizing several pesticide tolerance actions under the Federal Food, 
Drug, and Cosmetic Act (FFDCA) that the Agency previously determined 
were necessary or appropriate during the registration review conducted 
under the Federal Insecticide, Fungicide, and Rodenticide Act (FIFRA). 
During registration review, EPA reviews all aspects of a pesticide 
case, including existing tolerances, to ensure that the pesticide 
continues to meet the standard for registration under FIFRA. The Agency 
is also finalizing tolerance actions identified outside of registration 
review as housekeeping measures, such as removing expired tolerances 
from the Code of Federal Register (CFR). The pesticide tolerances and 
active ingredients addressed in this rulemaking are identified and 
discussed in detail in Unit III. of this document.</t>
  </si>
  <si>
    <t>Multiple commodities</t>
  </si>
  <si>
    <r>
      <rPr>
        <sz val="11"/>
        <rFont val="Calibri"/>
      </rPr>
      <t>https://www.govinfo.gov/content/pkg/FR-2026-02-27/html/2026-03942.htm</t>
    </r>
  </si>
  <si>
    <t>Preliminary draft Regulations implementing Law No. 21.368 governing the distribution of single-use plastics and plastic bottles, and amending the legal texts indicated.</t>
  </si>
  <si>
    <t>Law No. 21.794 was published in the Official Journal on 24 January 2026, amending Law No. 21.368 and postponing the entry into force of MMA Decree No. 30/2024, the publication of which in the Official Journal was notified in document G/TBT/N/CHL/675/Add.3.__________1 This information can be provided by including a website address, a PDF attachment, or other information on where the text of the final/modified measure and/or interpretative guidance can be obtained.</t>
  </si>
  <si>
    <t>Single-use plastics and plastic bottles</t>
  </si>
  <si>
    <t>13.030 - Wastes; 13.030 - Wastes; 83.080 - Plastics; 83.080 - Plastics</t>
  </si>
  <si>
    <t>Protection of the environment (TBT); Other (TBT)</t>
  </si>
  <si>
    <t>Disminución de la generación de residuos.</t>
  </si>
  <si>
    <r>
      <rPr>
        <sz val="11"/>
        <rFont val="Calibri"/>
      </rPr>
      <t>https://members.wto.org/crnattachments/2026/TBT/CHL/26_01221_00_s.pdf</t>
    </r>
  </si>
  <si>
    <t>Reglamento Técnico. TECNOLOGÍA DE LOS ALIMENTOS. PRODUCTOS LÁCTEOS. CHEDDAR. ESPECIFICACIONES</t>
  </si>
  <si>
    <t>The notified Technical Regulations establish the following: Technical Regulations Food Technology. Milk Products. Cheddar. Specifications; (7 pages, in Spanish). The notified Technical Regulations establish the technical and sanitary, and quality provisions for cheddar cheese. They apply to the manufacturing, handling, distribution and marketing of this product.</t>
  </si>
  <si>
    <t>Queso (Código(s) de la ICS: 67.100.30)</t>
  </si>
  <si>
    <t>Consumer information, labelling (TBT); Prevention of deceptive practices and consumer protection (TBT); Protection of human health or safety (TBT)</t>
  </si>
  <si>
    <r>
      <rPr>
        <sz val="11"/>
        <rFont val="Calibri"/>
      </rPr>
      <t>https://members.wto.org/crnattachments/2026/TBT/PAN/26_01218_00_s.pdf</t>
    </r>
  </si>
  <si>
    <t>• FAO and WHO. 1995. General Standard for Food Additives. Codex Alimentarius Standard, CXS 192-1995. Codex Alimentarius Commission. Rome.G/TBT/N/PAN/157- 2 - • FAO and WHO. 1978. General Standard for Cheese. Codex Alimentarius Standard, CXS 283-1978. Codex Alimentarius Commission. Rome.• FAO and WHO. 2001. Group Standard for Unripened Cheese, including Fresh Cheese. Codex Alimentarius Standard, CXS 221-2001. Codex Alimentarius Commission. Rome.• FAO and WHO. 1999. General Standard for the Use of Dairy Terms. Codex Alimentarius Standard, CXS 206-1999. Codex Alimentarius Commission. Rome.• FAO and WHO. 1995.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1997. Guidelines for Use of Nutrition and Health Claims Codex Alimentarius Guidelines, CXG 23-1997. Codex Alimentarius Commission. Rome.• FAO and WHO. 1997. Guidelines for Use of Nutrition and Health Claims Codex Alimentarius Guidelines, CXG 23-1997. Codex Alimentarius Commission. Rome.• FAO and WHO. 2021. General Standard for the Labelling of Non-retail Containers of Foods, CXS 346-2021. Codex Alimentarius Commission. Rome.• FAO and WHO. 1999. Recommended Methods of Analysis and Sampling. Codex Alimentarius Standard, CXS 234-1999. Codex Alimentarius Commission. Rome.</t>
  </si>
  <si>
    <t>Amending Ministry of Agriculture Decree No. 4, of 2016, approving animal feed regulations.</t>
  </si>
  <si>
    <t>The notified draft measure notifies the update to the designated Decree, relating to animal feed controls. Some of the amendments include:• Incorporating new definitions;• Stipulating that establishments that sell pet food must notify SAG of their activity;• Updating the system for granting producers an official number and authorization;• Allowing the handling of bulk products;• Relaxing some aspects of the imported products authorization, as well as amending these authorizations.Further details can be found in the document attached hereto.</t>
  </si>
  <si>
    <t>Animal feed</t>
  </si>
  <si>
    <t>Six months after publication in the Official Journal</t>
  </si>
  <si>
    <r>
      <rPr>
        <sz val="11"/>
        <rFont val="Calibri"/>
      </rPr>
      <t>https://members.wto.org/crnattachments/2026/SPS/CHL/26_01222_00_s.pdf
https://members.wto.org/crnattachments/2026/SPS/CHL/26_01222_01_s.pdf</t>
    </r>
  </si>
  <si>
    <t>Guía Técnica. TECNOLOGÍA DE LOS ALIMENTOS. PRODUCTOS LÁCTEOS. TOMA DE MUESTRA Y MÉTODOS DE ANÁLISIS</t>
  </si>
  <si>
    <t>The notified Technical Guide establishes the following: Technical Guide. Food Technology. Milk Products. Sampling and Analysis Methods; (26 pages, in Spanish). This Technical Guide establishes the technical guidelines for sampling and analysis methods applicable to milk and milk products that are produced in, imported into, distributed and marketed in the Republic of Panama, to ensure standardized procedures, guarantee the quality and safety of products, and support control and verification actions undertaken by the competent authorities.</t>
  </si>
  <si>
    <t>Leche y productos lácteos en general (Código(s) de la ICS: 67.100.01)</t>
  </si>
  <si>
    <r>
      <rPr>
        <sz val="11"/>
        <rFont val="Calibri"/>
      </rPr>
      <t>https://members.wto.org/crnattachments/2026/TBT/PAN/26_01217_00_s.pdf</t>
    </r>
  </si>
  <si>
    <t>G/TBT/N/PAN/156- 2 - • FAO and WHO. 1995. General Standard for Food Additives. Codex Alimentarius Standard, CXS 192-1995. Codex Alimentarius Commission. Rome.• FAO and WHO. 1995.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1999. General Standard for the Use of Dairy Terms. Codex Alimentarius Standard, CXS 206-1999. Codex Alimentarius Commission. Rome.• FAO and WHO. 1999. Recommended Methods of Analysis and Sampling. Codex Alimentarius Standard, CXS 234-1999. Codex Alimentarius Commission. Rome.• FAO and WHO. 2004. General Guidelines on Sampling. Codex Alimentarius Standard, CXG 50-2004. Codex Alimentarius Commission. Rome.</t>
  </si>
  <si>
    <t>The Department of Fisheries Malaysia, according to Section 40 on Control of Live Fish, Fisheries Act 1985 (Act 317), has reviewed the notification of G/SPS/N/MYS/20* (6 July 2009).This amendment accounts for the reclassification and consolidation of species within their respective commodity groups. Furthermore, it incorporates requirements for disease analysis, biosecurity risks, and the specific purpose of exportation to Malaysia. The purpose of this notification is to inform all countries on the updated protocol for the importation of:Live Fish for Human Consumption;Live Fish Broodstock;Live Freshwater Fish Fry;Live Marine Fish Fry;Live Crustacea Broodstock;Live Crustacea Fry;Live Mollusc;Live Invertebrate;Live Aquatic Plant.The risk assessment and quarantine requirements for imported live aquatic animals are as follows:Live Fish for Human Consumption (i): The quarantine requirement is determined by the end-use of the consignment. Shipments designated for direct delivery to restaurants for immediate preparation are exempted from quarantine.Other Commodities (ii-ix): The importation risk and mandatory quarantine period are based on a comprehensive assessment that considers the susceptibility of the species, diseases listed as notifiable by the World Organisation for Animal Health (WOAH), and other critical biosecurity risks.The main content of the protocol are as follows:Import Conditions Prior to Arrival in Malaysia;Animal Health Certification Requirements for the Import of Live Fish into Malaysia;Import Conditions on Arrival in Malaysian Territory.This import protocol mandates that all importers adhere to the stipulated conditions prior to consignment arrival, meet all health certification standards, and comply with all procedures upon arrival in Malaysia, as outlined in Annex I.* Notes: According to Fisheries Act 1985, “Fish” means any aquatic animal or plant life, sedentary or not, and includes all species of finfish, crustacea, mollusca, aquatic mammals, or their eggs or spawn, fry, fingerling, spat or young, but does not include any species of otters, turtles or their eggs.</t>
  </si>
  <si>
    <t>Pests; Animal health</t>
  </si>
  <si>
    <t>Update of the import protocol for live freshwater ornamental fish, live marine ornamental fish and ornamental crustacea (revision to G/SPS/N/MYS/26)</t>
  </si>
  <si>
    <t>The Department of Fisheries Malaysia, according to the Section 40 on Control of Live Fish, Fisheries Act 1985 (Act 317) has reviewed the notification of G/SPS/N/MYS/26 (7 January 2011). This amendment accounts for the reclassification and consolidation of species within their respective commodity groups. Furthermore, it incorporates requirements for disease analysis, biosecurity risks, and the specific purpose of exportation to Malaysia. The purpose of this notification is to inform all countries on the updated protocol for the importation of:Live Freshwater Ornamental Fish;Live Marine Ornamental Fish; and Live Ornamental Crustacea.Freshwater and marine ornamental fish exhibit distinct profiles of disease susceptibility due to fundamental differences in their aquatic environments. These differences, particularly in water chemistry and ecology, directly influence pathogen viability, transmission, and host-pathogen interactions.The main content of the protocols are as follows:Import Conditions Prior to Arrival in Malaysia;Animal Health Certification Requirements for the Import of Live Ornamental Fish into Malaysia;Import Conditions on Arrival in Malaysian Territory.This import protocol mandates that all importers adhere to the stipulated conditions prior to consignment arrival, meet all health certification standards, and comply with all procedures upon arrival in Malaysia, as outlined in Annex I.According to Fisheries Act 1985, “Fish” means any aquatic animal or plant life, sedentary or not, and includes all species of finfish, crustacea, mollusca, aquatic mammals, or their eggs or spawn, fry, fingerling, spat or young, but does not include any species of otters, turtles or their eggs.</t>
  </si>
  <si>
    <t>Proposed amendments to the “Standards and Specifications for Food Additives” (Notice No. 2026-083, 13 February 2026)</t>
  </si>
  <si>
    <t>The Republic of Korea is proposing to amend the "Standards and Specifications for Food Additives". The main points of the amendments are as follows: 1) Standards for the use of sweeteners will be revised; 2) Managements standards for flavouring substances and other substances will be strengthened.</t>
  </si>
  <si>
    <t>Food additives</t>
  </si>
  <si>
    <r>
      <rPr>
        <sz val="11"/>
        <rFont val="Calibri"/>
      </rPr>
      <t>https://members.wto.org/crnattachments/2026/SPS/KOR/26_01227_00_x.pdf</t>
    </r>
  </si>
  <si>
    <t>Reglamento Técnico. TECNOLOGÍA DE LOS ALIMENTOS. PRODUCTOS LÁCTEOS. MOZZARELLA. ESPECIFICACIONES</t>
  </si>
  <si>
    <t>The notified Technical Regulations establish the following:• Technical Regulations Food Technology. Milk Products. Mozzarella. Specifications; (8 pages, in Spanish).The notified Technical Regulations establish the technical and sanitary provisions for mozzarella cheese. They apply to the manufacturing, handling, distribution and marketing of this product.</t>
  </si>
  <si>
    <r>
      <rPr>
        <sz val="11"/>
        <rFont val="Calibri"/>
      </rPr>
      <t>https://members.wto.org/crnattachments/2026/TBT/PAN/26_01219_00_s.pdf</t>
    </r>
  </si>
  <si>
    <t>• FAO and WHO. 1995. General Standard for Food Additives. Codex Alimentarius Standard, CXS 192-1995. Codex Alimentarius Commission. Rome.• FAO and WHO. 1978. General Standard for Cheese. Codex Alimentarius Standard, CXS 283-1978. Codex Alimentarius Commission. Rome.• FAO and WHO. 2001. Group Standard for Unripened Cheese, including Fresh Cheese. Codex Alimentarius Standard, CXS 221-2001. Codex Alimentarius Commission. Rome.• FAO and WHO. 1999. General Standard for the Use of Dairy Terms. Codex Alimentarius Standard, CXS 206-1999. Codex Alimentarius Commission. Rome.• FAO and WHO. 1995.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1997. Guidelines for Use of Nutrition and Health Claims Codex Alimentarius Guidelines, CXG 23-1997. Codex Alimentarius Commission. Rome.• FAO and WHO. 2021. General Standard for the Labelling of Non-retail Containers of Foods, CXS 346-2021. Codex Alimentarius Commission. Rome.• FAO and WHO. 1999. Recommended Methods of Analysis and Sampling. Codex Alimentarius Standard, CXS 234-1999. Codex Alimentarius Commission. Rome.</t>
  </si>
  <si>
    <t>Import suspension of raw milk and/or un-heated/un-treated milk products from Cyprus</t>
  </si>
  <si>
    <t>In order to prevent the introduction of foot and mouth disease (FMD) virus into Japan, MAFF has suspended the import of raw milk and/or un-heated/un-treated milk products from Cyprus, including those shipped through third countries, on 21 February 2026 based on the "Animal Health Requirements for raw milk and/or milk products to be exported to Japan from Listed countries" and the Articles 37 and 44 of the "Act on Domestic Animal Infectious Disease Control".Importation of cloven-hoofed animals and products derived from cloven-hoofed animals other than milk and milk products, as well as straw and forage for feed from Cyprus have been prohibited under the Act on Domestic Animal Infectious Diseases Control. Therefore, only raw milk and un-heated/un-treated milk products are subject to the import suspension due to FMD outbreak.This is to inform that MAFF has removed Cyprus from the listed countries.</t>
  </si>
  <si>
    <t>Raw milk and/or un-heated/un-treated milk products</t>
  </si>
  <si>
    <t>Animal diseases; Animal health; Pest- or Disease- free Regions / Regionalization</t>
  </si>
  <si>
    <t>Cyprus  and countries, regions or zones approved as free from FMD by Japan
https://www.maff.go.jp/aqs/topix/dairy_products_en.html</t>
  </si>
  <si>
    <t>Draft Resolution 1385, 20 February 2026</t>
  </si>
  <si>
    <t>This draft resolution proposes the amendment of 24 monographs on pesticides on the Monograph List of Active Ingredients for Pesticides, Household Cleaning Products and Wood Preservatives, which was published by Normative Instruction 103 on 19 October 2021 in the Brazilian Official Gazette (DOU - Diário Oficial da União).</t>
  </si>
  <si>
    <t>Environment. Health protection. Safety (ICS code(s): 13)</t>
  </si>
  <si>
    <t>13 - Environment. Health protection. Safety</t>
  </si>
  <si>
    <t>To be determined after the end of the consultation period. </t>
  </si>
  <si>
    <r>
      <rPr>
        <sz val="11"/>
        <rFont val="Calibri"/>
      </rPr>
      <t>https://members.wto.org/crnattachments/2026/SPS/BRA/26_01209_00_x.pdf
Draft: https://anvisalegis.datalegis.net/action/UrlPublicasAction.php?acao=abrirAtoPublico&amp;num_ato=00001385&amp;sgl_tipo=CPB&amp;sgl_orgao=ANVISA/MS&amp;vlr_ano=2026&amp;seq_ato=222&amp;cod_modulo=134&amp;cod_menu=1696
Comment form: https://pesquisa.anvisa.gov.br/index.php/875616?lang=pt-BR</t>
    </r>
  </si>
  <si>
    <t>Pyridate; Pesticide Tolerances</t>
  </si>
  <si>
    <t>This regulation revises a use of pyridate on mint (with 
tolerances on mint, fresh leaves and mint, dried leaves); a crop group 
expansion to field corn subgroup 15-22C; and a crop group conversion to 
vegetable, brassica, head and stem, group 5-16, which includes a 
tolerance on orphan crop kohlrabi. The Interregional Project Number 4 
(IR-4) requested this tolerance under the Federal Food, Drug, and 
Cosmetic Act (FFDCA).</t>
  </si>
  <si>
    <t>Food safety; Human health; Maximum residue limits (MRLs)</t>
  </si>
  <si>
    <r>
      <rPr>
        <sz val="11"/>
        <rFont val="Calibri"/>
      </rPr>
      <t>https://www.govinfo.gov/content/pkg/FR-2026-02-27/html/2026-03938.htm</t>
    </r>
  </si>
  <si>
    <t>MAPA Ordinance No. 886, 20 February 2026</t>
  </si>
  <si>
    <t>Ministry of Agriculture and Livestock - MAPA Incorporates into the national legal system the MERCOSUR Technical Regulation on Strawberry Identity and Quality, approved by MERCOSUR/GMC/RES. No. 11/23.</t>
  </si>
  <si>
    <t>Fresh strawberries (HS code(s): 081010); Fruits. Vegetables (ICS code(s): 67.080)</t>
  </si>
  <si>
    <t>081010 - Fresh strawberries; 081010 - Fresh strawberries</t>
  </si>
  <si>
    <t>67.080 - Fruits. Vegetables; 67.080 - Fruits. Vegetables</t>
  </si>
  <si>
    <t>Consumer information, labelling (TBT); Prevention of deceptive practices and consumer protection (TBT); Protection of human health or safety (TBT); Quality requirements (TBT)</t>
  </si>
  <si>
    <t>Ensure equivalent treatment with respect to its identification and classification for its commercialization within MERCOSUR, and therefore it contributes preserving the health of consumers, eliminating non-tariff technical barriers and preventing fraud and unfair commercial practices.Revision of GMC Resolution No. 85/96, which approved the MERCOSUR Technical Regulation on Strawberry Identity and Quality, in order to adapt it to GMC Resolutions No. 38/98 and No. 12/06.</t>
  </si>
  <si>
    <r>
      <rPr>
        <sz val="11"/>
        <rFont val="Calibri"/>
      </rPr>
      <t>https://members.wto.org/crnattachments/2026/TBT/BRA/final_measure/26_01214_00_x.pdf</t>
    </r>
  </si>
  <si>
    <t>Draft Resolution 1386, 20 February 2026</t>
  </si>
  <si>
    <t>This draft resolution proposes the inclusion of active ingredient  V05 - VALIFENALATE on the Monograph List of Active Ingredients for Pesticides, Household Cleaning Products and Wood Preservatives, which was published by Normative Instruction 103 on 19 October 2021 in the Brazilian Official Gazette (DOU - Diário Oficial da União).</t>
  </si>
  <si>
    <r>
      <rPr>
        <sz val="11"/>
        <rFont val="Calibri"/>
      </rPr>
      <t>https://members.wto.org/crnattachments/2026/SPS/BRA/26_01210_00_x.pdf
Draft: https://anvisalegis.datalegis.net/action/UrlPublicasAction.php?acao=abrirAtoPublico&amp;num_ato=00001386&amp;sgl_tipo=CPB&amp;sgl_orgao=ANVISA/MS&amp;vlr_ano=2026&amp;seq_ato=222&amp;cod_modulo=134&amp;cod_menu=1696
Comment form:  https://pesquisa.anvisa.gov.br/index.php/978224?lang=pt-BR</t>
    </r>
  </si>
  <si>
    <t>Draft Resolution of the Cabinet of Ministers of Ukraine “On Approval of Criteria for Assessing the Level of Risk in Conducting of Genetic Engineering Activities in a Closed System”</t>
  </si>
  <si>
    <t>The draft Resolution of the Cabinet of Ministers of Ukraine "On Approval of Criteria for Assessing the Level of Risk in Conducting of Genetic Engineering Activities in a Closed System" has been developed pursuant to the Law of Ukraine "On State Regulation of Genetically Engineered Activities and State Control over Placing GMOs and Genetically Modified Products on the Market" with a view of ensuring that genetic engineering operators take all appropriate measures to prevent any adverse effects on human health and the environment that may arise from the use of GMOs in a closed system._x000D_
Compared to the previous version notified in document G/TBT/N/UKR/343, the revised draft of Criteria specifically introduces definitions of key terms and includes additional provisions regarding the elements of risk assessment for genetic engineering activities in a closed system and the corresponding risk assessment procedures. It also refines the criteria for determining the risk level of activities carried out by the genetic engineering operators and incorporates editorial amendments._x000D_
The draft Resolution is aimed at establishing a framework for the responsible and controlled use of GMOs in closed systems and ensuring alignment with EU standards.</t>
  </si>
  <si>
    <t>Genetically engineered activities, GMOs, genetically modified products</t>
  </si>
  <si>
    <t>07.080 - Biology. Botany. Zoology</t>
  </si>
  <si>
    <r>
      <rPr>
        <sz val="11"/>
        <rFont val="Calibri"/>
      </rPr>
      <t>https://members.wto.org/crnattachments/2026/TBT/UKR/26_01229_00_x.pdf
https://members.wto.org/crnattachments/2026/TBT/UKR/26_01229_01_x.pdf
https://moz.gov.ua/uk/povidomlennya-pro-oprilyudnennya-proyekt-postanovi-kabinetu-ministriv-ukrayini-pro-zatverdzhennya-kriteriyiv-ocinyuvannya-rivnya-riziku-pri-zdijsnenni-genetichno-inzhenernoyi-diyalnosti-v-zamknenij-sistemi-2</t>
    </r>
  </si>
  <si>
    <t xml:space="preserve">Law of Ukraine  “On State Regulation of Genetically Engineered Activities and State Control over Placing GMOs and Genetically Modified Products on the Market”;Cartagena Protocol on Biosafety to the Convention on Biological Diversity._x000D_
</t>
  </si>
  <si>
    <t>Proposed amendments to the “Standards and Specifications for Food Additives” (Notice No. 2026-084, 13 February 2026)</t>
  </si>
  <si>
    <t>The Republic of Korea is proposing to amend the "Standards and Specifications for Food Additives". The main points of the amendments are as follows: 1) The use of nutritional fortifiers, including new designations will be expanded; 2) Standards for the use of sulfites and other substances will be revised; 3) Ingredient specifications for phosphates and other substances will be revised; 4) Standards for the use of sweeteners will be revised; 5) Testing methods for ingredient specifications and specific gravity measurements for food additives will be revised.</t>
  </si>
  <si>
    <r>
      <rPr>
        <sz val="11"/>
        <rFont val="Calibri"/>
      </rPr>
      <t>https://members.wto.org/crnattachments/2026/SPS/KOR/26_01226_00_x.pdf</t>
    </r>
  </si>
  <si>
    <t>Prescribing the Guidelines for the Application of Certificate of Good Manufacturing Practice (GMP) Compliance for Local and Foreign Pharmaceutical Manufacturers</t>
  </si>
  <si>
    <t>The draft issuance prescribes the guidelines, procedures, documentary requirements, and regulatory framework for the application, issuance, renewal, and monitoring of Certificates of Good Manufacturing Practice (GMP) Compliance for both local and foreign pharmaceutical manufacturers.The measure includes:Requirements for GMP certification of pharmaceutical manufacturers;Procedures for application and evaluation;Mechanism for evaluation (Desktop and on-site inspection);Grounds for suspension, revocation, or cancellation of GMP certificates;The objective is to strengthen regulatory oversight, ensure product quality, safety, and efficacy, and harmonize GMP compliance requirements with internationally accepted standards.</t>
  </si>
  <si>
    <t>Pharmaceutics (ICS code(s): 11.120)</t>
  </si>
  <si>
    <r>
      <rPr>
        <sz val="11"/>
        <rFont val="Calibri"/>
      </rPr>
      <t>https://members.wto.org/crnattachments/2026/TBT/PHL/26_01228_00_e.pdf
https://members.wto.org/crnattachments/2026/TBT/PHL/26_01228_01_e.pdf
https://members.wto.org/crnattachments/2026/TBT/PHL/26_01228_02_e.pdf
https://members.wto.org/crnattachments/2026/TBT/PHL/26_01228_03_e.pdf
https://members.wto.org/crnattachments/2026/TBT/PHL/26_01228_04_e.pdf
https://members.wto.org/crnattachments/2026/TBT/PHL/26_01228_05_e.pdf
https://members.wto.org/crnattachments/2026/TBT/PHL/26_01228_06_e.pdf
https://members.wto.org/crnattachments/2026/TBT/PHL/26_01228_07_e.pdf</t>
    </r>
  </si>
  <si>
    <t>Republic Act (RA) No. 3720, “Food, Drugs and Devices, and Cosmetics Act” as amended by Executive Order (EO) No. 175 and RA 9711Republic Act (RA) No. 9711, ““Food and Drug Administration (FDA) Act of 2009”Administrative Order No. 2013-0022 “Guidelines for Current Good Manufacturing Practice (cGMP) Clearance and Inspection of Foreign Drug Manufacturers’WHO Technical Report Series on Good Manufacturing PracticesPIC/S Guide to Good Manufacturing Practice (as applicable)</t>
  </si>
  <si>
    <t>Reglamento Técnico. TECNOLOGÍA DE LOS ALIMENTOS. PRODUCTOS LÁCTEOS. LECHE LÍQUIDA SABORIZADA. ESPECIFICACIONES</t>
  </si>
  <si>
    <t>The notified Technical Regulations establish the following: Technical Regulations. Food Technology. Milk Products. Flavoured liquid milk. Specifications; (8 pages, in Spanish). The notified Technical Regulations establish the technical requirements that liquid milk with flavours must meet.</t>
  </si>
  <si>
    <t>Leche y productos lácteos procesados (Código(s) de la ICS: 67.100.10)</t>
  </si>
  <si>
    <r>
      <rPr>
        <sz val="11"/>
        <rFont val="Calibri"/>
      </rPr>
      <t>https://members.wto.org/crnattachments/2026/TBT/PAN/26_01220_00_s.pdf</t>
    </r>
  </si>
  <si>
    <t>• FAO and WHO. 1995. General Standard for Food Additives. Codex Alimentarius Standard, CXS 192-1995. Codex Alimentarius Commission. Rome.G/TBT/N/PAN/159- 2 - • FAO and WHO. 1995.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t>
  </si>
  <si>
    <t>Technical Regulation for Glue and Adhesive Materials</t>
  </si>
  <si>
    <t>Attached is a copy of the Regulation after alignment, along with the List of standards.</t>
  </si>
  <si>
    <t>3505 3506 3919 4811 5906</t>
  </si>
  <si>
    <t>3506 - Prepared glues and other prepared adhesives, n.e.s.; products suitable for use as glues or adhesives, put up for retail sale as glues or adhesives, and weighing net &lt;= 1 kg; 3919 - Self-adhesive plates, sheets, film, foil, tape, strip and other flat shapes, of plastics, whether or not in rolls (excl. floor, wall and ceiling coverings of heading 3918); 4811 - Paper, paperboard, cellulose wadding and webs of cellulose fibres, coated, impregnated, covered, surface-coloured, surface-decorated or printed, in rolls or in square or rectangular sheets, of any size (excl. goods of heading 4803, 4809 and 4810); 5906 - Rubberised textile fabrics (excl. tyre cord fabric of high-tenacity yarn of nylon or other polyamides, polyesters or viscose rayon); 3506 - Prepared glues and other prepared adhesives, n.e.s.; products suitable for use as glues or adhesives, put up for retail sale as glues or adhesives, and weighing net &lt;= 1 kg; 3919 - Self-adhesive plates, sheets, film, foil, tape, strip and other flat shapes, of plastics, whether or not in rolls (excl. floor, wall and ceiling coverings of heading 3918); 4811 - Paper, paperboard, cellulose wadding and webs of cellulose fibres, coated, impregnated, covered, surface-coloured, surface-decorated or printed, in rolls or in square or rectangular sheets, of any size (excl. goods of heading 4803, 4809 and 4810); 5906 - Rubberised textile fabrics (excl. tyre cord fabric of high-tenacity yarn of nylon or other polyamides, polyesters or viscose rayon)</t>
  </si>
  <si>
    <t>83.180 - Adhesives; 83.180 - Adhesives</t>
  </si>
  <si>
    <t>Consumer information, labelling (TBT); Protection of human health or safety (TBT); Protection of the environment (TBT); Reducing trade barriers and facilitating trade (TBT)</t>
  </si>
  <si>
    <r>
      <rPr>
        <sz val="11"/>
        <rFont val="Calibri"/>
      </rPr>
      <t xml:space="preserve">https://members.wto.org/crnattachments/2026/TBT/SAU/modification/26_01200_00_x.pdf
https://members.wto.org/crnattachments/2026/TBT/SAU/modification/26_01200_01_x.pdf
Aligning the provisions of the Technical Regulation with the recently issued Product Safety Law.
</t>
    </r>
  </si>
  <si>
    <t>Technical Regulation of Fire Fighting Systems and Devices</t>
  </si>
  <si>
    <t>3813; 4009; 7308; 7325; 8413; 8481; 8531.</t>
  </si>
  <si>
    <t>3813 - Preparations and charges for fire-extinguishers; charged fire-extinguishing grenades.; 4009 - Tubes, pipes and hoses, of vulcanised rubber other than hard rubber, with or without their fittings, e.g. joints, elbows, flanges; 7308 - Structures and parts of structures "e.g.,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 (excl. prefabricated buildings of heading 9406); 7325 - Articles of iron or steel, cast, n.e.s.; 8413 - Pumps for liquids, whether or not fitted with a measuring device (excl. ceramic pumps and secretion aspirating pumps for medical use and medical pumps carried on or implanted in the body); liquid elevators (excl. pumps); parts thereof; 8481 - Taps, cocks, valves and similar appliances for pipes, boiler shells, tanks, vats or the like, incl. pressure-reducing valves and thermostatically controlled valves; parts thereof; 8531 - Electric sound or visual signalling apparatus, e.g. bells, sirens, indicator panels, burglar or fire alarms (excl. those for cycles, motor vehicles and traffic signalling); parts thereof; 7325 - Articles of iron or steel, cast, n.e.s.; 7308 - Structures and parts of structures "e.g.,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 (excl. prefabricated buildings of heading 9406); 84138 - - Other pumps; liquid elevators:; 4009 - Tubes, pipes and hoses, of vulcanised rubber other than hard rubber, with or without their fittings, e.g. joints, elbows, flanges; 8531 - Electric sound or visual signalling apparatus, e.g. bells, sirens, indicator panels, burglar or fire alarms (excl. those for cycles, motor vehicles and traffic signalling); parts thereof; 841320 - Hand pumps (excl. those of subheading 8413.11 and 8413.19); 841350 - Reciprocating positive displacement pumps, power-driven (excl. those of subheading 8413.11 and 8413,19, fuel, lubricating or cooling medium pumps for internal combustion piston engine and concrete pumps); 841360 - Rotary positive displacement pumps, power-driven (excl. those of subheading 8413.11 and 8413.19 and fuel, lubricating or cooling medium pumps for internal combustion piston engine); 841370 - Centrifugal pumps, power-driven (excl. those of subheading 8413.11 and 8413.19, fuel, lubricating or cooling medium pumps for internal combustion piston engine and concrete pumps); 841340 - Concrete pumps; 8481 - Taps, cocks, valves and similar appliances for pipes, boiler shells, tanks, vats or the like, incl. pressure-reducing valves and thermostatically controlled valves; parts thereof; 841330 - Fuel, lubricating or cooling medium pumps for internal combustion piston engine; 3813 - Preparations and charges for fire-extinguishers; charged fire-extinguishing grenades (excl. full or empty fire-extinguishing devices, whether or not portable, unmixed chemically undefined products with fire-extinguishing properties in other forms); 8413 - Pumps for liquids, whether or not fitted with a measuring device (excl. ceramic pumps and secretion aspirating pumps for medical use and medical pumps carried on or implanted in the body); liquid elevators (excl. pumps); parts thereof; 73259 - - Other:; 84131 - - Pumps fitted or designed to be fitted with a measuring device:; 84139 - - Parts:; 732510 - Articles of iron or steel, of non-malleable cast iron, n.e.s.</t>
  </si>
  <si>
    <t>13.220 - Protection against fire; 13.220 - Protection against fire</t>
  </si>
  <si>
    <t>Consumer information, labelling (TBT); Prevention of deceptive practices and consumer protection (TBT); Protection of human health or safety (TBT); Protection of the environment (TBT)</t>
  </si>
  <si>
    <r>
      <rPr>
        <sz val="11"/>
        <rFont val="Calibri"/>
      </rPr>
      <t xml:space="preserve">https://members.wto.org/crnattachments/2026/TBT/SAU/modification/26_01192_01_x.pdf
https://members.wto.org/crnattachments/2026/TBT/SAU/modification/26_01192_00_x.pdf
Aligning the provisions of the Technical Regulation with the recently issued Product Safety Law.
</t>
    </r>
  </si>
  <si>
    <t>ConsultationonRSS-310, Issue 6 (10 pages in English, 10 pages in French)</t>
  </si>
  <si>
    <t>Notice is hereby given by the Ministry of Innovation, Science and Economic Development Canada has amended the following standard:RSS-310, issue 6, Licence-exempt radio apparatus: category II equipment, sets out the requirements for licence-exempt radio apparatus that is exempt from certification.</t>
  </si>
  <si>
    <t>33.170 - Television and radio broadcasting</t>
  </si>
  <si>
    <r>
      <rPr>
        <sz val="11"/>
        <rFont val="Calibri"/>
      </rPr>
      <t>https://www.rabc-cccr.ca/ised-radio-standards-specification-rss-gen-issue-6-feb-2026-general-requirements-for-compliance-of-radio-apparatus-ised-radio-standards-specification-rss-310-issue-6-feb-2026/</t>
    </r>
  </si>
  <si>
    <t>Draft Commission Delegated Regulation (EU) amending Regulation (EU) No 528/2012 of the European Parliament and of the Council as regards the restriction of the use for the active substance carbon dioxide in Annex I, Category 6, thereto</t>
  </si>
  <si>
    <t>This draft Commission Delegated Regulation amends Regulation (EU) No 528/2012 of the European Parliament and of the Council as regards the restriction of the use for the active substance carbon dioxide in Annex I, Category 6, thereto.The relevant restriction of carbon dioxide in Annex I, Category 6, is amended and replaced by a new restriction.</t>
  </si>
  <si>
    <t>Biocidal products</t>
  </si>
  <si>
    <t>71.100 - Products of the chemical industry</t>
  </si>
  <si>
    <t>Protection of human health or safety (TBT); Protection of animal or plant life or health (TBT); Protection of the environment (TBT); Harmonization (TBT)</t>
  </si>
  <si>
    <t>Protection of public health and of the environment. Harmonisation of the EU market on biocidal products.</t>
  </si>
  <si>
    <t>July 2026</t>
  </si>
  <si>
    <r>
      <rPr>
        <sz val="11"/>
        <rFont val="Calibri"/>
      </rPr>
      <t>https://members.wto.org/crnattachments/2026/TBT/EEC/26_01208_00_e.pdf
https://members.wto.org/crnattachments/2026/TBT/EEC/26_01208_01_e.pdf</t>
    </r>
  </si>
  <si>
    <t>-Regulation (EU) No 528/2012 of the European Parliament and of the Council of 22 May 2012 concerning the making available on the market and use of biocidal products (OJ L 167, 27.6.2012, p. 1.). Available in all EU languages. EUR-Lex - 32012R0528 - EN - EUR-Lex (europa.eu)</t>
  </si>
  <si>
    <t>Draft of the Technical Regulation for Watercrafts</t>
  </si>
  <si>
    <t>8406, 8407, 8408, 8901, 8903</t>
  </si>
  <si>
    <t>8406 - Steam turbines and other vapour turbines; parts thereof; 8407 - Spark-ignition reciprocating or rotary internal combustion piston engine; 8408 - Compression-ignition internal combustion piston engine "diesel or semi-diesel engine"; 8901 - Cruise ships, excursion boats, ferry-boats, cargo ships, barges and similar vessels for the transport of persons or goods; 8903 - Yachts and other vessels for pleasure or sports; rowing boats and canoes; 8406 - Steam turbines and other vapour turbines; parts thereof; 8407 - Spark-ignition reciprocating or rotary internal combustion piston engine; 8408 - Compression-ignition internal combustion piston engine "diesel or semi-diesel engine"; 8901 - Cruise ships, excursion boats, ferry-boats, cargo ships, barges and similar vessels for the transport of persons or goods; 8903 - Yachts and other vessels for pleasure or sports; rowing boats and canoes</t>
  </si>
  <si>
    <t>47.020 - Shipbuilding and marine structures in general; 47.020 - Shipbuilding and marine structures in general</t>
  </si>
  <si>
    <t>Consumer information, labelling (TBT); Prevention of deceptive practices and consumer protection (TBT); Protection of human health or safety (TBT); Protection of animal or plant life or health (TBT)</t>
  </si>
  <si>
    <r>
      <rPr>
        <sz val="11"/>
        <rFont val="Calibri"/>
      </rPr>
      <t xml:space="preserve">https://members.wto.org/crnattachments/2026/TBT/SAU/modification/26_01199_00_x.pdf
https://members.wto.org/crnattachments/2026/TBT/SAU/modification/26_01199_01_x.pdf
Aligning the provisions of the Technical Regulation with the recently issued Product Safety Law.
</t>
    </r>
  </si>
  <si>
    <t>Extending the Reporting Deadline Under the Greenhouse Gas 
Reporting Rule for 2025</t>
  </si>
  <si>
    <t>The U.S. Environmental Protection Agency (EPA) is promulgating this final rule to extend the reporting deadline under the Greenhouse Gas Reporting Rule for reporting year 2025 from 31 March 2026 to 30 October 2026. This final rule changes only the reporting deadline for annual greenhouse gas (GHG) reports for reporting year 2025 in response to comments received on the proposed rescission of the Greenhouse Gas Reporting Program (GHGRP). The EPA anticipates addressing the remainder of the proposed rule in one or more subsequent final actions.This rule is effective 27 February 2026.91 Federal Register (FR) 9712, 27 February 2026; Title 40 Code of Federal Regulations (CFR) Part 98_x000D_
https://www.govinfo.gov/content/pkg/FR-2026-02-27/html/2026-03995.htm_x000D_
https://www.govinfo.gov/content/pkg/FR-2026-02-27/pdf/2026-03995.pdfThis final rule and previous actions notified under the symbol G/TBT/N/USA/2239 are identified by Docket Number EPA-HQ-OAR-2025-0186. The Docket Folder is available from Regulations.gov at https://www.regulations.gov/docket/EPA-HQ-OAR-2025-0186/document and provides access to primary and supporting documents as well as comments received. Documents are also accessible from Regulations.gov by searching the Docket Number. </t>
  </si>
  <si>
    <t>Greenhouse Gas Reporting; Maintenance services. Facilities management (ICS code(s): 03.080.10); Air quality (ICS code(s): 13.040)</t>
  </si>
  <si>
    <t>03.080.10 - Industrial services; 13.040 - Air quality; 03.080.10 - Maintenance services. Facilities management; 13.040 - Air quality</t>
  </si>
  <si>
    <r>
      <rPr>
        <sz val="11"/>
        <rFont val="Calibri"/>
      </rPr>
      <t>https://members.wto.org/crnattachments/2026/TBT/USA/final_measure/26_01186_00_e.pdf</t>
    </r>
  </si>
  <si>
    <t>Draft of the Guide for Product Conformity Models</t>
  </si>
  <si>
    <t>Attached is a copy of the Regulation after alignment.</t>
  </si>
  <si>
    <t>(ICS code(s): 01)</t>
  </si>
  <si>
    <t>01 - GENERALITIES. TERMINOLOGY. STANDARDIZATION. DOCUMENTATION; 01 - GENERALITIES. TERMINOLOGY. STANDARDIZATION. DOCUMENTATION</t>
  </si>
  <si>
    <t>Quality requirements (TBT); Cost saving and productivity enhancement (TBT); Other (TBT)</t>
  </si>
  <si>
    <t> Product Conformity Assessment</t>
  </si>
  <si>
    <r>
      <rPr>
        <sz val="11"/>
        <rFont val="Calibri"/>
      </rPr>
      <t xml:space="preserve">https://members.wto.org/crnattachments/2026/TBT/SAU/modification/26_01195_00_x.pdf
Aligning the provisions of the Technical Regulation with the recently issued Product Safety Law.
</t>
    </r>
  </si>
  <si>
    <t>Draft Commission Implementing Decision (EU) on the non-approval of terbutryn, 1,2-Benzisothiazol-3(2H)-one (BIT), and tetrahydro-1,3,4,6-tetrakis(hydroxymethyl)imidazo[4,5-d]imidazole-2,5(1H,3H)-dione (TMAD) as existing active substances for use in biocidal products of product-types 9, 9, and 12, respectively, in accordance with Regulation (EU) No 528/2012 of the European Parliament and of the Council</t>
  </si>
  <si>
    <t>This draft Commission Implementing Decision does not approve certain active substances in biocidal products pursuant to Regulation (EU) No 528/2012 of the European Parliament and of the Council. For these active substance/product-type combinations included in the review programme of existing active substances listed in Annex II to Regulation (EU) No 1062/2014, all the participants have withdrawn or are considered to have withdrawn their support. For these active substances the role of participant had not previously been taken over, but no notification has been submitted to the European Chemicals Agency. Therefore, all these active substance/product-type combinations should not be approved for use in biocidal products. As a consequence, also treated articles treated with or incorporating those active substances cannot be placed on the market in the Union 180 days after the decision.</t>
  </si>
  <si>
    <t>Biocidal products and treated articles treated with or incorporating biocidal products</t>
  </si>
  <si>
    <t>Protection of public health and of the environment. Harmonisation of the EU market on biocidal products</t>
  </si>
  <si>
    <t>20 days from publication in the Official Journal of the EU (Application 12 months after adoption)</t>
  </si>
  <si>
    <r>
      <rPr>
        <sz val="11"/>
        <rFont val="Calibri"/>
      </rPr>
      <t>https://members.wto.org/crnattachments/2026/TBT/EEC/26_01207_00_e.pdf
https://members.wto.org/crnattachments/2026/TBT/EEC/26_01207_01_e.pdf</t>
    </r>
  </si>
  <si>
    <t>Armenia</t>
  </si>
  <si>
    <t>Draft Decisions of the Collegium of the Eurasian Economic Commission on Amendments to Common veterinary (sanitary and veterinary) requirements for goods subject to veterinary control (surveillance) and on Amendments to the Decision of the Commission of the Customs Union No. 607 of 7 April 2011</t>
  </si>
  <si>
    <t>The drafts complement the veterinary requirements of the EAEU by introducing confirmation of the well-being of the territory in part of chronic wasting disease (CWD) when importing animals of the deer family (Cervidae). They also set up veterinary requirements and a veterinary certificate form for non-human primates as laboratory animals.</t>
  </si>
  <si>
    <t>Goods (products) subject to veterinary control</t>
  </si>
  <si>
    <r>
      <rPr>
        <sz val="11"/>
        <rFont val="Calibri"/>
      </rPr>
      <t xml:space="preserve">https://regulation.eaeunion.org/orv/3358/
https://regulation.eaeunion.org/orv/3359/
</t>
    </r>
  </si>
  <si>
    <t>ConsultationonRSS-Gen, Issue 6 (48 pages in English, 50 pages in French)</t>
  </si>
  <si>
    <t>Notice is hereby given by the Ministry of Innovation, Science and Economic Development Canada has amended the following standard:RSS-Gen, issue 6, General requirements for compliance of radio apparatus, sets out the general requirements applicable to licensed and licence-exempt radio apparatus.</t>
  </si>
  <si>
    <t>Draft Technical Regulations for Photovoltaic (Solar) Products</t>
  </si>
  <si>
    <t>Products accepted in the Small-Scale Solar PV Systems Regulations.854140000000; 854140000001; 854140000002; 854140000003; 854140009999; 854150000000; 854190000000</t>
  </si>
  <si>
    <t>854140 - Photosensitive semiconductor devices, incl. photovoltaic cells whether or not assembled in modules or made up into panels; light emitting diodes (excl. photovoltaic generators); 854150 - Semiconductor devices, n.e.s.; 854190 - Parts of diodes, transistors and similar semiconductor devices; photosensitive semiconductor devices, light emitting diodes and mounted piezoelectric crystals, n.e.s.; 854150 - Semiconductor devices, n.e.s.; 854140 - Photosensitive semiconductor devices, incl. photovoltaic cells whether or not assembled in modules or made-up into panels; light emitting diodes (excl. photovoltaic generators); 854190 - Parts of diodes, transistors and similar semiconductor devices; photosensitive semiconductor devices, light emitting diodes and mounted piezo-electric crystals, n.e.s.</t>
  </si>
  <si>
    <t>27.160 - Solar energy engineering; 27.160 - Solar energy engineering</t>
  </si>
  <si>
    <r>
      <rPr>
        <sz val="11"/>
        <rFont val="Calibri"/>
      </rPr>
      <t xml:space="preserve">https://members.wto.org/crnattachments/2026/TBT/SAU/modification/26_01196_00_x.pdf
https://members.wto.org/crnattachments/2026/TBT/SAU/modification/26_01196_01_x.pdf
Aligning the provisions of the Technical Regulation with the recently issued Product Safety Law.
</t>
    </r>
  </si>
  <si>
    <t>Maximum residue levels for alpha-cypermethrin and cypermethrin in or on certain products</t>
  </si>
  <si>
    <t>The content of the draft Regulation previously notified in G/SPS/N/EU/702 (12 December 2023) is partially changed.This new version of the proposed draft Regulation concerns the review of existing maximum residue levels (MRLs) for cypermethrins in certain food commodities. MRLs for these substances in certain commodities are lowered. Lower MRLs are set after deleting old uses which are not authorised anymore in the European Union. Additionally, corresponding MRLs are set separately for alpha-cypermethrin. This new version of the draft Regulation intends to set separate MRLs for the sum of cypermethrins and for alpha-cypermethrin, based on the latest EFSA Statement: EFSA Journal. 2025;23:e9386. Statement on MRLs for alpha-cypermethrin and screening of the existing EU MRLs for cypermethrin. https://doi.org/10.2903/j.efsa.2025.9386</t>
  </si>
  <si>
    <t>Cereals (HS Codes: 1001, 1002, 1003, 1004, 1005, 1006, 1007, 1008), foodstuffs of animal origin (HS Codes: 0201, 0202, 0203, 0204, 0205, 0206, 0207, 0208, 0209, 0210) and certain products of plant origin, including fruit and vegetables</t>
  </si>
  <si>
    <t>10 - CEREALS; 02 - MEAT AND EDIBLE MEAT OFFAL; 1001 - Wheat and meslin; 10 - CEREALS; 02 - MEAT AND EDIBLE MEAT OFFAL; 1001 - Wheat and meslin</t>
  </si>
  <si>
    <t>Maximum residue limits (MRLs); Human health; Food safety; Modification of content/scope of regulation; Human health; Food safety; Maximum residue limits (MRLs)</t>
  </si>
  <si>
    <r>
      <rPr>
        <sz val="11"/>
        <rFont val="Calibri"/>
      </rPr>
      <t>https://members.wto.org/crnattachments/2026/SPS/EEC/26_01183_00_e.pdf
https://members.wto.org/crnattachments/2026/SPS/EEC/26_01183_01_e.pdf
https://members.wto.org/crnattachments/2026/SPS/EEC/26_01183_02_e.pdf
https://members.wto.org/crnattachments/2026/SPS/EEC/26_01183_03_e.pdf</t>
    </r>
  </si>
  <si>
    <t>Draft Order of the Ministry of Economy, Environment and Agriculture of Ukraine "On Amendments to the Order of the Ministry of Agrarian Policy and Food of Ukraine No. 391 of 14 February 2024"</t>
  </si>
  <si>
    <t>The draft Order provides for amendments to the Order of the Ministry of Agrarian Policy and Food of Ukraine No. 391 "On Approval of the Requirements for Fruit Jams, Jellies, Marmalades and Sweetened Chestnut Puree" of 14 February 2024 (notified in document G/TBT/N/UKR/238/Add.1) and to the Requirements, by setting them out in a new version._x000D_
The proposed new version of the Requirements provides, in particular, for the following supplements:_x000D_
-the possibility of using the names 'marmalade' and 'marmalade extra' instead of the names of food products "jam" and 'jam extra' respectively, except in cases where jam and jam extra are made from citrus fruits;_x000D_
- an increase in the minimum total fruit content in the production of jam and extra jam, thereby reducing the amount of added sugar needed to achieve the minimum soluble dry matter content in these products, and contributing to healthier nutrition;_x000D_
- the possibility of adding appropriate concentrated juices in the production of jam, jelly, as well as the addition of food additives that comply with the Requirements for Food Additives, approved by the Order of the Ministry of Health of Ukraine No. 45 "On Approval of Requirements for Food Flavours, Requirements for Food Additives and Requirements for Food Enzymes" of 8 January 2024.The draft Order also proposes to exclude provisions regarding the use of sulphur dioxide (E 220) or its salts (E 221, E 222, E 223, E 224, E 226 and E 227) in the processing of fruit raw materials.Furthermore, pursuant to the amendments proposed to paragraph 3 of Order of the Ministry of Agrarian Policy and Food of Ukraine No. 391 of 14 February 2024, the words “may be placed on the market for three years” shall be replaced with the words “may be produced and/or placed on the market for three years”._x000D_
The draft Order developed in order to implement EU legislation._x000D_
The draft Order is also notified under the SPS Agreement.</t>
  </si>
  <si>
    <t>Fruit jams, jellies, marmalades, sweetened chestnut puree</t>
  </si>
  <si>
    <t>2007 - Jams, fruit jellies, marmalades, fruit or nut purée and fruit or nut pastes, obtained by cooking, whether or not containing added sugar or other sweetening matter</t>
  </si>
  <si>
    <t>67.080.10 - Fruits and derived products</t>
  </si>
  <si>
    <t>Consumer information, labelling (TBT); Prevention of deceptive practices and consumer protection (TBT); Protection of human health or safety (TBT); Quality requirements (TBT); Harmonization (TBT)</t>
  </si>
  <si>
    <t>Six months after its official publication.</t>
  </si>
  <si>
    <r>
      <rPr>
        <sz val="11"/>
        <rFont val="Calibri"/>
      </rPr>
      <t>https://members.wto.org/crnattachments/2026/TBT/UKR/26_01191_00_x.pdf
https://me.gov.ua/Documents/Detail/1729f49f-c542-4648-a976-abb7660a60e4?lang=uk-UA&amp;title=ProktNakazuMinisterstvaEkonomiki DovkilliaTaSilskogoGospodarstvaUkrainiproVnesenniaZminDoNakazuMinisterstvaAgrarnoiPolitikiTaProdovolstvaUkrainiVid14-Liutogo2024-Roku391-</t>
    </r>
  </si>
  <si>
    <t>- Laws of Ukraine "On Basic Principles and Requirements for Food Safety and Quality, "On Consumer Information on Food Products";- Order of the Ministry of Agrarian Policy and Food of Ukraine No. 391 "On Approval of the Requirements for Fruit Jams, Jellies, Marmalades and Sweetened Chestnut Puree" of 14 February 2024 (notified in document G/TBT/N/UKR/283/Add.1);- Order of the Ministry of Health of Ukraine No. 45 "On Approval of Requirements for Food Flavours, Requirements for Food Additives and Requirements for Food Enzymes" of 8 January 2024;- Council Directive 2001/113/EC of 20 December 2001 relating to fruit jams, jellies and marmalades and sweetened chestnut purée intended for human consumption;- Directive (EU) 2024/1438 of the European Parliament and of the Council of 14 May 2024 amending Council Directives 2001/110/EC relating to honey, 2001/112/EC relating to fruit juices and certain similar products intended for human consumption, 2001/113/EC relating to fruit jams, jellies and marmalades and sweetened chestnut purée intended for human consumption, and 2001/114/EC relating to certain partly or wholly dehydrated preserved milk for human consumption.</t>
  </si>
  <si>
    <t>Technical Regulation of paints and Varnish </t>
  </si>
  <si>
    <t>HS codes: 32030019, 32041600, 32041700, 32041900, 32062000, 32064900, 32071000, 32073000, 32081090, 32082090, 32089090, 32091090, 32099090, 32100010, 32100020, 32100090, 32129010, 35069900</t>
  </si>
  <si>
    <t>320300 - Colouring matter of vegetable or animal origin, incl. dye extracts (excl. animal black), whether or not chemically defined; preparations based on colouring matter of vegetable or animal origin of a kind used to dye fabrics or produce colorant preparations (excl. preparations of heading 3207, 3208, 3209, 3210, 3213 and 3215); 320416 - Synthetic organic reactive dyes; preparations based on synthetic organic reactive dyes of a kind used to dye fabrics or produce colorant preparations (excl. preparations of heading 3207, 3208, 3209, 3210, 3213 and 3215); 320417 - Synthetic organic pigments; preparations based on synthetic organic pigments of a kind used to dye fabrics or produce colorant preparations (excl. preparations of heading 3207, 3208, 3209, 3210, 3213 and 3215); 320419 - Synthetic organic colouring matter (excl. disperse dyes, acid dyes, mordant dyes, basic dyes, direct dyes, vat dyes and reactive dyes and organic pigments); preparations of the kind used for colouring any materials or for the production of prepared colours, based thereon (excl. preparations in heading 3207, 3208, 3209, 3210, 3212, 3213 and 3215); mixtures of colouring matter in subheading 3204.11 to 3204.19; 320620 - Pigments and preparations of a kind used for colouring any material or used as ingredients in the manufacture of colouring preparations based on chromium compounds (excl. preparations of headings 3207, 3208, 3209, 3210, 3212, 3213 and 3215); 320649 - Inorganic or mineral colouring matter, n.e.s.; preparations based on inorganic or mineral colouring matter of a kind used for colouring any material or produce colorant preparations, n.e.s. (excl. preparations of heading 3207, 3208, 3209, 3210, 3213 and 3215 and inorganic products of a kind used as liminophores); 320710 - Prepared pigments, prepared opacifiers, prepared colours and similar preparations of a kind used in the ceramic, enamelling or glass industry; 320730 - Liquid lustres and similar preparations of the kind used in the ceramic, enamelling or glass industry; 320810 - Paints and varnishes, incl. enamels and lacquers, based on polyesters, dispersed or dissolved in a non-aqueous medium; solutions based on polyesters in volatile organic solvents, containing &gt; 50% solvent by weight; 320820 - Paints and varnishes, incl. enamels and lacquers, based on acrylic or vinyl polymers, dispersed or dissolved in a non-aqueous medium; solutions based on acrylic or vinyl polymers in volatile organic solvents, containing &gt; 50% solvent by weight; 320890 - 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 320910 - Paints and varnishes, incl. enamels and lacquers, based on acrylic or vinyl polymers, dispersed or dissolved in an aqueous medium; 320990 - Paints and varnishes, incl. enamels and lacquers, based on synthetic or chemically modified natural polymers, dispersed or dissolved in an aqueous medium (excl. those based on acrylic or vinyl polymers); 321000 - Paints and varnishes, incl. enamels, lacquers and distempers (excl. those based on synthetic polymers or chemically modified natural polymers); prepared water pigments of a kind used for finishing leather; 321290 - Pigments, incl. metallic powders and flakes, dispersed in non-aqueous media, in liquid or paste form, of a kind used in the manufacture of paints; colorants and other colouring matter, n.e.s. put up for retail sale; 350699 - Glues, prepared, and other prepared adhesives, n.e.s.; 320417 - Synthetic organic pigments; preparations based on synthetic organic pigments of a kind used to dye fabrics or produce colorant preparations (excl. preparations of heading 3207, 3208, 3209, 3210, 3213 and 3215); 320649 - Inorganic or mineral colouring matter, n.e.s.; preparations based on inorganic or mineral colouring matter of a kind used to dye fabrics or produce colorant preparations, n.e.s. (excl. preparations of heading 3207, 3208, 3209, 3210, 3213 and 3215 and inorganic products of a kind used as liminophores); 321290 - Pigments, incl. metallic powders and flakes, dispersed in non-aqueous media, in liquid or paste form, of a kind used in the manufacture of paints; colorants and other colouring matter, n.e.s. put up for retail sale; 320890 - Paints and varnishes based, incl. enamels and lacquers, on synthetic polymers or chemically modified natural polymers, dispersed or dissolved in a non-aqueous medium, and solutions of products of subheading 3901 to 3913 in volatile organic solvents, containing &gt; 50% solvent by weight (excl. those based on polyesters and acrylic or vinyl polymers and solutions of collodion); 320710 - Prepared pigments, prepared opacifiers, prepared colours and similar preparations of a kind used in the ceramic, enamelling or glass industry; 320820 - Paints and varnishes, incl. enamels and lacquers, based on acrylic or vinyl polymers, dispersed or dissolved in a non-aqueous medium; solutions based on acrylic or vinyl polymers in volatile organic solvents, containing &gt; 50% solvent by weight; 320300 - Colouring matter of vegetable or animal origin, incl. dye extracts (excl. animal black), whether or not chemically defined; preparations based on colouring matter of vegetable or animal origin of a kind used to dye fabrics or produce colorant preparations (excl. preparations of heading 3207, 3208, 3209, 3210, 3213 and 3215); 320730 - Liquid lustres and similar preparations of the kind used in the ceramic, enamelling or glass industry; 320810 - Paints and varnishes, incl. enamels and lacquers, based on polyesters, dispersed or dissolved in a non-aqueous medium; solutions based on polyesters in volatile organic solvents, containing &gt; 50% solvent by weight; 320419 - Synthetic organic colouring matter (excl. disperse dyes, acid dyes, mordant dyes, basic dyes, direct dyes, vat dyes and reactive dyes and organic pigments); preparations of the kind used for colouring any materials or for the production of prepared colours, based thereon (excl. preparations in heading 3207, 3208, 3209, 3210, 3212, 3213 and 3215); mixtures of colouring matter in subheading 3204.11 to 3204.19; 320620 - Pigments and preparations of a kind used for colouring any material or used as ingredients in the manufacture of colouring preparations based on chromium compounds (excl. preparations of headings 3207, 3208, 3209, 3210, 3212, 3213 and 3215); 320990 - Paints and varnishes, incl. enamels and lacquers, based on synthetic or chemically modified natural polymers, dispersed or dissolved in an aqueous medium (excl. those based on acrylic or vinyl polymers); 321000 - Paints and varnishes, incl. enamels, lacquers and distempers (excl. those based on synthetic polymers or chemically modified natural polymers); prepared water pigments of a kind used for finishing leather; 350699 - Glues, prepared, and other prepared adhesives, n.e.s.; 320416 - Synthetic organic reactive dyes; preparations based on synthetic organic reactive dyes of a kind used to dye fabrics or produce colorant preparations (excl. preparations of heading 3207, 3208, 3209, 3210, 3213 and 3215); 320910 - Paints and varnishes, incl. enamels and lacquers, based on acrylic or vinyl polymers, dispersed or dissolved in an aqueous medium</t>
  </si>
  <si>
    <t>87.040 - Paints and varnishes; 87.040 - Paints and varnishes; 87.060 - Paint ingredients; 87.060 - Paint ingredients</t>
  </si>
  <si>
    <t xml:space="preserve">consumer protection and market surveillance </t>
  </si>
  <si>
    <r>
      <rPr>
        <sz val="11"/>
        <rFont val="Calibri"/>
      </rPr>
      <t xml:space="preserve">https://members.wto.org/crnattachments/2026/TBT/SAU/modification/26_01203_00_x.pdf
https://members.wto.org/crnattachments/2026/TBT/SAU/modification/26_01203_01_x.pdf
Aligning the provisions of the Technical Regulation with the recently issued Product Safety Law.
</t>
    </r>
  </si>
  <si>
    <t>Implementing Statutory Addition of Certain Per- and 
Polyfluoroalkyl Substances (PFAS) to the Toxics Release Inventory 
Beginning With Reporting Year 2026</t>
  </si>
  <si>
    <t>Final Rule - The Environmental Protection Agency (EPA or the Agency) is 
updating the list of chemicals subject to toxic chemical release 
reporting under the Emergency Planning and Community Right-to-Know Act &gt;EPCRA) and the Pollution Prevention Act (PPA). Specifically, this 
action updates the regulations to identify one perfluoroalkyl substance 
that must be reported pursuant to the National Defense Authorization 
Act for Fiscal Year 2020 (FY 2020 NDAA) enacted on 20 December 2019. 
As this action is being taken to conform the regulations to a 
Congressional legislative mandate, notice and comment rulemaking is 
unnecessary.</t>
  </si>
  <si>
    <t>Per- and Polyfluoroalkyl Substances; Production in the chemical industry (ICS code(s): 71.020); Products of the chemical industry (ICS code(s): 71.100)</t>
  </si>
  <si>
    <t>71.020 - Production in the chemical industry; 71.100 - Products of the chemical industry</t>
  </si>
  <si>
    <r>
      <rPr>
        <sz val="11"/>
        <rFont val="Calibri"/>
      </rPr>
      <t>https://members.wto.org/crnattachments/2026/TBT/USA/26_01187_00_e.pdf</t>
    </r>
  </si>
  <si>
    <t>91 Federal Register (FR) 9728, 27 February 2026; Title 40 Code of Federal Regulations (CFR) Part 372_x000D_
https://www.govinfo.gov/content/pkg/FR-2026-02-27/html/2026-03944.htmhttps://www.govinfo.gov/content/pkg/FR-2026-02-27/pdf/2026-03944.pdfThis final rule is identified by Docket Number EPA-HQ-OPPT-2024-0044. The Docket Folder is available on Regulations.gov at https://www.regulations.gov/docket/EPA-HQ-OPPT-2024-0044/document and provides access to primary and supporting documents. Documents are also accessible from Regulations.gov by searching the Docket Number.</t>
  </si>
  <si>
    <t>Approval of the 2023 Edition of the American Society of 
Mechanical Engineers Boiler and Pressure Vessel Code and Code Cases, 
Revision 41</t>
  </si>
  <si>
    <t>Proposed rule - The U.S. Nuclear Regulatory Commission (NRC) is proposing to 
amend its regulations to incorporate by reference the 2023 Edition of 
the American Society of Mechanical Engineers (ASME) Boiler and Pressure 
Vessel Code. This action is in accordance with the NRC's policy to 
periodically update the regulations to incorporate by reference new 
editions of the ASME Codes and is intended to maintain the safety of 
nuclear power plants and to make NRC activities more effective and 
efficient. The NRC also is proposing to amend its regulations to 
incorporate by reference proposed revisions of three regulatory guides, 
which would approve new, revised, and reaffirmed code cases published 
by the ASME. This proposed action would allow nuclear power plant 
licensees and applicants to use the code cases listed in these draft 
regulatory guides as voluntary alternatives to engineering standards 
for the construction, inservice inspection, and inservice testing of 
nuclear power plant components. This proposed rule also incorporates 
minor editorial corrections. The NRC is requesting comments on this 
proposed rule, on the draft versions of three regulatory guides, and 
the draft version of an additional regulatory guide which will not be 
incorporated by reference.&gt;</t>
  </si>
  <si>
    <t>Nuclear power plant engineering; Quality (ICS code(s): 03.120); Nuclear energy engineering (ICS code(s): 27.120)</t>
  </si>
  <si>
    <t>03.120 - Quality; 27.120 - Nuclear energy engineering</t>
  </si>
  <si>
    <t>Protection of human health or safety (TBT); Quality requirements (TBT); Cost saving and productivity enhancement (TBT)</t>
  </si>
  <si>
    <r>
      <rPr>
        <sz val="11"/>
        <rFont val="Calibri"/>
      </rPr>
      <t>https://members.wto.org/crnattachments/2026/TBT/USA/26_01188_00_e.pdf</t>
    </r>
  </si>
  <si>
    <t xml:space="preserve">91 Federal Register (FR) 9733, 27 February 2026; Title 10 Code of Federal Regulations (CFR) Part 50_x000D_
https://www.govinfo.gov/content/pkg/FR-2026-02-27/html/2026-03993.htm_x000D_
https://www.govinfo.gov/content/pkg/FR-2026-02-27/pdf/2026-03993.pdfThis proposed rule is identified by Docket Number NRC-2020-0029. The Docket Folder is available on Regulations.gov at https://www.regulations.gov/docket/NRC-2020-0029/document and provides access to primary and supporting documents as well as comments received. Documents are also accessible from Regulations.gov by searching the Docket Number. _x000D_
Draft Regulatory Guide (DG) DG-1446 - RG 1.84, "Design, Fabrication, and Materials Code Case Acceptability, ASME Section III,'' Revision 41_x000D_
Draft Regulatory Guide (DG) DG-1447 - RG 1.147, "Inservice Inspection Code Case Acceptability, ASME Section XI, Division 1,'' Revision 22 Draft Regulatory Guide (DG) DG-1448 - RG 1.192, "Operation and Maintenance [OM] Code Case Acceptability, ASME OM Code,'' Revision 6_x000D_
</t>
  </si>
  <si>
    <t>Viet Nam</t>
  </si>
  <si>
    <t>Draft Decree on the Management of Cosmetics</t>
  </si>
  <si>
    <t>Description of content: _x000D_
1. This draft Decree regulates the management of cosmetics, including:_x000D_
a) Declaration of cosmetic products;_x000D_
b) Manufacture of cosmetics in Vietnam;_x000D_
c) Management of imported cosmetic products and issuance of Certificates of Free Sale for exported cosmetic products;_x000D_
d) Product information dossiers, labeling and advertising of cosmetics;_x000D_
e) Online dossiers, procedures, and record keeping;_x000D_
f) Inspection, monitoring and ensuring the safety and quality of cosmetic products;_x000D_
g) Recall of cosmetic products, revocation of the registration number of the cosmetic product declaration form, and cessation of receiving applications for cosmetic product declarations._x000D_
2. This draft Decree applies to domestic and foreign agencies, organizations, and individuals involved in activities related to cosmetic products in Vietnam._x000D_
The Draft Decree consists of 10 Chapters and 52 Articles, specifically:_x000D_
1. Chapter I – General Provisions (02 Articles)_x000D_
Provides for the scope of regulation, subjects of application and interpretation of terms._x000D_
2. Chapter II – Cosmetic Product Notification (12 Articles), provides for:_x000D_
- Requirements on the safety and quality of cosmetic products;_x000D_
- Cosmetic products must be notified to the competent state management authority before being placed on the market;_x000D_
- Dossiers and procedures for product notification, post-notification amendments, and applications for renewal of notification validity;_x000D_
- Following notification and public disclosure of product information, the competent state authority shall conduct post-notification dossier review and carry out inspection and supervision of cosmetic products circulated on the Vietnamese market._x000D_
3. Chapter III – Manufacture of Cosmetics in Viet Nam (07 Articles), provides for:_x000D_
- Cosmetic manufacturing establishments must satisfy requirements relating to personnel, facilities, equipment and quality management systems, and shall be subject to periodic assessment every three (03) years or extraordinary inspection;_x000D_
- Establishes unified conditions for the issuance of the Certificate of Eligibility for Cosmetic Manufacture and the CGMP Certificate;_x000D_
- Decentralization to Provincial People’s Committees the authority to issue, amend and revoke the Certificate of Eligibility for Cosmetic Manufacture and the CGMP Certificate;_x000D_
- Provides specific cases for revocation of the Certificate of Eligibility for Cosmetic Manufacture._x000D_
4. Chapter IV – Management of Imported Cosmetics and Issuance of Certificates of Free Sale (CFS) for Exported Cosmetics (03 Articles), provides for:_x000D_
- Imported cosmetic products must be notified prior to customs clearance, except in cases such as importation for research or testing purposes, importation by diplomatic missions, personal gifts not intended for commercial purposes, etc.;_x000D_
- Provisions on the issuance of Certificates of Free Sale (CFS) for domestically manufactured cosmetic products intended for export._x000D_
5. Chapter V – Product Information File (PIF), Advertising and Labelling of Cosmetics (03 Articles), provides for:_x000D_
- Cosmetic products placed on the market must have a Product Information File (PIF) in accordance with ASEAN guidelines;_x000D_
- Labelling of cosmetic products shall comply with the legislation on goods labelling, and mandatory labelling requirements shall be implemented in accordance with the ASEAN Cosmetic Agreement;_x000D_
- Cosmetic advertising shall comply with the law on advertising and shall not require prior content approval._x000D_
6. Chapter VI – Online Dossiers, Procedures and Electronic Record Retention (03 Articles)_x000D_
Provides for requirements applicable to online dossiers; provisions on online procedures; and electronic record retention._x000D_
7. Chapter VII – Inspection, Supervision and Assurance of Cosmetic Safety and Quality (04 Articles), provides for:_x000D_
- Detailed provisions on post-notification dossier review;_x000D_
- Detailed provisions on specialized inspection. Cosmetic products that have undergone compliant post-notification dossier review shall not be subject to re-inspection;_x000D_
- Risk-based prioritization for quality inspection according to the level of risk posed by cosmetic products;_x000D_
- Specification of competent authorities designated to conduct sampling and testing of cosmetic products for quality control._x000D_
8. Chapter VIII – Recall of Cosmetic Products, Revocation of Notification Receipt Numbers and Suspension of Acceptance of Notification Dossiers (04 Articles), provides for:_x000D_
- Cases of recall of cosmetic products; cases of revocation of notification receipt numbers and suspension of acceptance of notification dossiers;_x000D_
- Forms, competence and responsibilities relating to the recall of cosmetic products._x000D_
9. Chapter IX – Organization of Implementation (09 Articles)_x000D_
Provides for the responsibilities of ministries, sectors, organizations and individuals engaged in the manufacture and trading of cosmetic products._x000D_
10. Chapter X – Implementation Provisions (05 Articles)_x000D_
Provides for transitional provisions, entry into force, reference clauses and responsibilities for implementation.</t>
  </si>
  <si>
    <t>Cosmetics</t>
  </si>
  <si>
    <t>33 - ESSENTIAL OILS AND RESINOIDS; PERFUMERY, COSMETIC OR TOILET PREPARATIONS</t>
  </si>
  <si>
    <t>- To implement the provisions of the 2025 Law on Promulgation of Legal Documents (amended and supplemented by Law No. 87/2025/QH15 dated June 25, 2025) and Decree No. 78/2025/ND-CP dated 01 April 2025 of the Government providing guidance on its implementation (amended and supplemented by Decree No. 187/2025/ND-CP dated July 1, 2025);_x000D_
- To implement Decision No. 150/QD-TTg dated 16 January 2025 of the Prime Minister promulgating the 2025 Government Working Program_x000D_
- The Ministry of Health is responsible for drafting the Decree on Cosmetic Management for submission to the Prime Minister.</t>
  </si>
  <si>
    <r>
      <rPr>
        <sz val="11"/>
        <rFont val="Calibri"/>
      </rPr>
      <t>https://members.wto.org/crnattachments/2026/TBT/VNM/26_01197_00_x.pdf</t>
    </r>
  </si>
  <si>
    <t>Draft Technical Regulation for the General Safety of Electric Batteries.</t>
  </si>
  <si>
    <t>HS Code: 850440, 850600, 850610, 850630, 850640, 850650, 850660, 850680 , 850700, 850710, 850720, 850730, 850740, 850750.</t>
  </si>
  <si>
    <t>850440 - Static converters; 8506 - Primary cells and primary batteries, electrical; parts thereof (excl. spent); 850610 - Manganese dioxide cells and batteries (excl. spent); 850630 - Mercuric oxide cells and batteries (excl. spent); 850640 - Silver oxide cells and batteries (excl. spent); 850650 - Lithium cells and batteries (excl. spent); 850660 - Air-zinc cells and batteries (excl. spent); 850680 - Primary cells and primary batteries, electric (excl. spent, and those of silver oxide, mercuric oxide, manganese dioxide, lithium and air-zinc); 8507 - Electric accumulators, incl. separators therefor, whether or not square or rectangular; parts thereof (excl. spent and those of unhardened rubber or textiles); 850710 - Lead-acid accumulators of a kind used for starting piston engine "starter batteries" (excl. spent); 850720 - Lead acid accumulators (excl. spent and starter batteries); 850730 - Nickel-cadmium accumulators (excl. spent); 850740 - Nickel-iron accumulators (excl. spent); 850630 - Mercuric oxide cells and batteries (excl. spent); 850730 - Nickel-cadmium accumulators (excl. spent); 8506 - Primary cells and primary batteries, electrical; parts thereof (excl. spent); 850440 - Static converters; 850640 - Silver oxide cells and batteries (excl. spent); 850660 - Air-zinc cells and batteries (excl. spent); 850720 - Lead acid accumulators (excl. spent and starter batteries); 850740 - Nickel-iron accumulators (excl. spent); 850610 - Manganese dioxide cells and batteries (excl. spent); 850650 - Lithium cells and batteries (excl. spent); 8507 - Electric accumulators, incl. separators therefor, whether or not rectangular or square; parts thereof (excl. spent and those of unhardened rubber or textiles); 850710 - Lead-acid accumulators of a kind used for starting piston engine "starter batteries" (excl. spent); 850680 - Primary cells and primary batteries, electric (excl. spent, and those of silver oxide, mercuric oxide, manganese dioxide, lithium and air-zinc)</t>
  </si>
  <si>
    <t>29.220 - Galvanic cells and batteries; 29.220 - Galvanic cells and batteries</t>
  </si>
  <si>
    <r>
      <rPr>
        <sz val="11"/>
        <rFont val="Calibri"/>
      </rPr>
      <t xml:space="preserve">https://members.wto.org/crnattachments/2026/TBT/SAU/modification/26_01201_00_x.pdf
https://members.wto.org/crnattachments/2026/TBT/SAU/modification/26_01201_01_x.pdf
Aligning the provisions of the Technical Regulation with the recently issued Product Safety Law.
</t>
    </r>
  </si>
  <si>
    <t>Technical Regulation of tools, surfaces, and devices used for food-contact in cooking</t>
  </si>
  <si>
    <t>HS Codes: 392410100001; 392410100002; 392410200001; 392410200002; 392410200003; 392410310001; 392410310002; 392410310003; 392410390001; 392410390002; 392410390003; 392410900001; 392410900002; 392410900003; 441911000000; 441912000000; 441990000001; 441990000002; 441990000003; 441990000004; 441990000005; 441990000006; 441990000007; 441990000008; 441990000009; 441990000010; 441990000011; 441990000012; 441990000013; 441990000014; 441990000015; 481190000001; 481190000002; 481190000003; 481190000004; 481190000005; 482320000000, 482361000001; 482361000002; 482361000003; 482361000004; 482369000001; 482369000002; 482369000003; 482369000004; 691110000001; 691110000002; 691110000003; 691110000004; 691110000005; 691110000007; 691110000008; 691110000009; 691110000010; 691110000011; 691110000012; 691110000013; 691110000017; 691110000018; 691110000019, 691110000020; 691110000021; 691110000022; 691110000023; 691110000024; 691110000025; 691110000027; 691200000001; 691200000002; 691200000003; 691200000004; 691200000005, 691200000007; 691200000008; 691200000009; 691200000010; 691200000011; 691200000012; 691200000013; 691200000014; 691200000015; 691200000017; 691200000018; 691200000019; 691200000020; 691200000021; 691200000022; 691200000023; 691200000024; 691200000027; 750890500001; 750890500002; 750890500003; 750890500004; 750890500005; 750890500006; 750890500007; 750890500008; 750890500009; 750890500013; 750890500014; 761510200001; 761510200002; 761510900001; 761510900002; 761510900003; 761510900004; 761510900005; 761510900006; 761510900007; 761510900009; 761510900010; 800700300000, 820551000001; 820551000002; 820551000003; 820551000004; 820551000005; 820551000006; 820551000007; 820551000008; 820551000009; 820551000010; 820551000011; 820551000012; 820551000013; 820551000014, 820551000015; 820551000016; 820551000017; 820551000018; 820551000019; 820830000000; 821591000000; 830910000001; 830910000002; 830990300004; 830990400003; 843510000001; 843510000002; 843510009999; 843590000001; 843860000001; 843860000002, 843860000003; 843860000004;</t>
  </si>
  <si>
    <t>761510 - Table, kitchen or other household articles and parts thereof; pot scourers and scouring or polishing pads, gloves and the like; 392410 - Tableware and kitchenware, of plastics; 4419 - Tableware and kitchenware, of wood.; 481190 - Paper, paperboard, cellulose wadding and webs of soft cellulose, coated, impregnated, covered, surface-coloured, surface-decorated or printed, in rolls or in square or rectangular sheets, of any size (excl. goods of heading 4803, 4809, 4810 and 4818, and of subheading 4811.10 to 4811.60); 482320 - Filter paper and paperboard, in strips or rolls of a width &lt;= 36 cm, in rectangular or square sheets, of which no side &gt; 36 cm in the unfolded state, or cut to shape other than rectangular or square; 482361 - Trays, dishes, plates, cups and the like, of bamboo paper or bamboo paperboard; 482369 - Trays, dishes, plates, cups and the like, of paper or paperboard (excl. of bamboo paper or bamboo paperboard); 691110 - Tableware and kitchenware, of porcelain or china (excl. ornamental articles, pots, jars, carboys and similar receptacles for the conveyance or packing of goods, and coffee grinders and spice mills with receptacles made of ceramics and working parts of metal); 691200 - Tableware, kitchenware, other household articles and toilet articles, of ceramics other than porcelain or china (excl. baths, bidets, sinks and similar sanitary fixtures, statuettes and other ornamental articles, pots, jars, carboys and similar receptacles for the conveyance or packing of goods, and coffee grinders and spice mills with receptacles made of ceramics and working parts of metal); 750890 - Articles of nickel, n.e.s.; 800700 - Articles of tin, n.e.s.; 820551 - Household hand tools, non-mechanical, with working parts of base metal, n.e.s.; 820830 - Knives and cutting blades, of base metal, for kitchen appliances or for machines used by the food industry; 821591 - Spoons, forks, ladles, skimmers, cake-servers, fish-knives, butter-knives, sugar tongs and similar kitchen or tableware of base metal, plated with precious metal (excl. sets of articles such as lobster cutters and poultry shears); 830910 - Crown corks of base metal; 830990 - Stoppers, caps and lids, incl. screw caps and pouring stoppers, capsules for bottles, threaded bungs, bung covers, seals and other packing accessories of base metal (excl. crow corks); 843510 - Presses, crushers and similar machinery used in the manufacture of wine, cider, fruit juices or similar beverages (excl. machinery for the treatment of these beverages, incl. centrifuges, filter presses, other filtering equipment and domestic appliances); 843590 - Parts of presses, crushers and similar machinery used in the manufacture of wine, cider, fruit juices or similar beverages, n.e.s.; 843860 - Machinery for the industrial preparation of fruits, nuts or vegetables (excl. cooking and other heating appliances, refrigerating or freezing equipment and machinery for the sorting or grading of fruit and vegetables); 482320 - Filter paper and paperboard, in strips or rolls of a width &lt;= 36 cm, in rectangular or square sheets, of which no side &gt; 36 cm in the unfolded state, or cut to shape other than rectangular or square; 691110 - Tableware and kitchenware, of porcelain or china (excl. ornamental articles, pots, jars, carboys and similar receptacles for the conveyance or packing of goods, and coffee grinders and spice mills with receptacles made of ceramics and working parts of metal); 800700 - Articles of tin, n.e.s.; 830990 - Stoppers, caps and lids, incl. screw caps and pouring stoppers, capsules for bottles, threaded bungs, bung covers, seals and other packing accessories of base metal (excl. crow corks); 843860 - Machinery for the industrial preparation of fruits, nuts or vegetables (excl. cooking and other heating appliances, refrigerating or freezing equipment and machinery for the sorting or grading of fruit and vegetables); 4419 - Tableware and kitchenware, of wood (excl. interior fittings, ornaments, cooperage products, tableware and kitchenware components of wood, brushes, brooms and hand sieves); 750890 - Articles of nickel, n.e.s.; 481190 - Paper, paperboard, cellulose wadding and webs of soft cellulose, coated, impregnated, covered, surface-coloured, surface-decorated or printed, in rolls or in square or rectangular sheets, of any size (excl. goods of heading 4803, 4809, 4810 and 4818, and of subheading 4811.10 to 4811.60); 691200 - Tableware, kitchenware, other household articles and toilet articles, of ceramics other than porcelain or china (excl. baths, bidets, sinks and similar sanitary fixtures, statuettes and other ornamental articles, pots, jars, carboys and similar receptacles for the conveyance or packing of goods, and coffee grinders and spice mills with receptacles made of ceramics and working parts of metal); 820830 - Knives and cutting blades, of base metal, for kitchen appliances or for machines used by the food industry; 843510 - Presses, crushers and similar machinery used in the manufacture of wine, cider, fruit juices or similar beverages (excl. machinery for the treatment of these beverages, incl. centrifuges, filter presses, other filtering equipment and domestic appliances); 830910 - Crown corks of base metal; 843590 - Parts of presses, crushers and similar machinery used in the manufacture of wine, cider, fruit juices or similar beverages, n.e.s.; 392410 - Tableware and kitchenware, of plastics; 820551 - Household hand tools, non-mechanical, with working parts of base metal, n.e.s.; 821591 - Spoons, forks, ladles, skimmers, cake-servers, fish-knives, butter-knives, sugar tongs and similar kitchen or tableware of base metal, plated with precious metal (excl. sets of articles such as lobster cutters and poultry shears); 3924 - Tableware, kitchenware, other household articles and toilet articles, of plastics (excl. baths, shower-baths, wash-basins, bidets, lavatory pans, seats and covers, flushing cisterns and similar sanitary ware); 8007 - Articles of tin, n.e.s.; 6912 - Tableware, kitchenware, other household articles and toilet articles, of ceramics other than porcelain or china (excl. baths, bidets, sinks and similar sanitary fixtures, statuettes and other ornamental articles, pots, jars, carboys and similar receptacles for the conveyance or packing of goods, and coffee grinders and spice mills with receptacles made of ceramics and working parts of metal); 8309 - Stoppers, caps and lids, incl. crown corks, screw caps and pouring stoppers, capsules for bottles, threaded bungs, bung covers, seals and other packing accessories, of base metal; 8435 - Presses, crushers and similar machinery used in the manufacture of wine, cider, fruit juices or similar beverages (excl. machinery for the treatment of these beverages, incl. centrifuges, filter presses, other filtering equipment and domestic appliances); parts thereof; 820559 - Hand tools, incl. glaziers' diamonds, of base metal, n.e.s.; 82055 - - Other hand tools (including glaziers' diamonds):</t>
  </si>
  <si>
    <t>67.250 - Materials and articles in contact with foodstuffs; 67.250 - Materials and articles in contact with foodstuffs</t>
  </si>
  <si>
    <r>
      <rPr>
        <sz val="11"/>
        <rFont val="Calibri"/>
      </rPr>
      <t xml:space="preserve">https://members.wto.org/crnattachments/2026/TBT/SAU/modification/26_01202_00_x.pdf
https://members.wto.org/crnattachments/2026/TBT/SAU/modification/26_01202_01_x.pdf
Aligning the provisions of the Technical Regulation with the recently issued Product Safety Law.
</t>
    </r>
  </si>
  <si>
    <t>Technical Regulation of Textile Products</t>
  </si>
  <si>
    <t>HS codes: see the  Annex (1-B), page 19.</t>
  </si>
  <si>
    <t xml:space="preserve">5104 - Garnetted stock of wool or of fine or coarse animal hair.; 6003 - Knitted or crocheted fabrics, of a width &lt;= 30 cm (excl. those containing by weight &gt;= 5% of elastomeric yarn or  rubber thread, and pile fabrics, incl. "long pile", looped pile fabrics, labels, badges and similar articles, and knitted or crocheted fabrics, impregnated, coated, covered or laminated); 6004 - Knitted or crocheted fabrics, of a width &gt;  30 cm, containing by weight &gt;= 5% of elastomeric yarn or  rubber thread (excl. pile fabrics, incl. "long pile", looped pile fabrics, labels, badges and similar articles, and knitted or crocheted fabrics, impregnated, coated, covered or laminated); 6005 -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 6006 -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 6101 - Men''s or boys'' overcoats, car coats, capes, cloaks, anoraks, incl. ski jackets, windcheaters, wind-jackets and similar articles, knitted or crocheted (excl. suits, ensembles, jackets, blazers, bib and brace overalls and trousers); 6102 - Women''s or girls'' overcoats, car coats, capes, cloaks, anoraks, incl. ski jackets, windcheaters, wind-jackets and similar articles, knitted or crocheted (excl. suits, ensembles, jackets, blazers, dresses, skirts, divided skirts, trousers, bib and brace overalls); 6103 - Men''s or boys'' suits, ensembles, jackets, blazers, trousers, bib and brace overalls, breeches and shorts (excl. wind-jackets and similar articles, separate waistcoats, tracksuits, ski suits and swimwear); 6002 - Knitted or crocheted fabrics, of a width &lt;=  30 cm, containing by weight &gt;= 5% of elastomeric yarn or  rubber thread (excl. pile fabrics, incl. "long pile", looped pile fabrics, labels, badges and similar articles, and knitted or crocheted fabrics, impregnated, coated, covered or laminated); 6104 - Women''s or girls'' suits, ensembles, jackets, blazers, dresses, skirts, divided skirts, trousers, bib and brace overalls, breeches and shorts, knitted or crocheted (excl. wind-jackets and similar articles, slips, petticoats and panties, tracksuits, ski suits and swimwear); 6106 - Women''s or girls'' blouses, shirts and shirt-blouses, knitted or crocheted (excl. T-shirts and vests); 6107 - Men''s or boys'' underpants, briefs, nightshirts, pyjamas, bathrobes, dressing gowns and similar articles, knitted or crocheted (excl. vests and singlets); 6108 - Women''s or girls'' slips, petticoats, briefs, panties, nightdresses, pyjamas, négligés, bathrobes, dressing gowns, housecoats and similar articles, knitted or crocheted (excl. T-shirts, vests, brassieres, girdles, corsets and similar articles); 6109 - T-shirts, singlets and other vests, knitted or crocheted; 6110 - Jerseys, pullovers, cardigans, waistcoats and similar articles, knitted or crocheted (excl. wadded waistcoats); 6111 - Babies'' garments and clothing accessories, knitted or crocheted (excl. hats); 6112 - Track-suits, ski-suits and swimwear, knitted or crocheted; 6105 - Men''s or boys'' shirts, knitted or crocheted (excl. nightshirts, T-shirts, singlets and other vests); 6113 - Garments, made up of knitted or crocheted fabrics of heading 59.03, 59.06 or 59.07.; 6001 - Pile fabrics, incl. "long pile" fabrics and terry fabrics, knitted or crocheted; 5910 - Transmission or conveyor belts or belting, of textile material, whether or not impregnated, coated, covered or laminated with plastics, or reinforced with metal or other material.; 5805 - Hand-woven tapestries of the type Gobelins, Flanders, Aubusson, Beauvais and the like, and needle-worked tapestries (for example, petit point, cross stitch), whether or not made up.; 5806 - Narrow woven fabrics of textile materials, with a width of &lt;= 30 cm (excl. labels, badges and similar articles); narrow fabrics consisting of warp without weft assembled by means of an adhesive "bolducs"; 5807 - Labels, badges and similar articles, of textile materials, in the piece, in strips or cut to shape or size, not embroidered; 5808 - Braids of textile materials, in the piece; ornamental trimmings of textile materials, in the piece, not embroidered, other than knitted or crocheted; tassels, pompons and similar articles of textile materials; 5809 - Woven fabrics of metal thread and woven fabrics of metallised yarn of heading 56.05, of a kind used in apparel, as furnishing fabrics or for similar purposes, not elsewhere specified or included.; 5810 - Embroidery on a textile fabric ground, in the piece, in strips or in motifs; 5811 - Quilted textile products in the piece, composed of one or more layers of textile materials assembled with padding by stitching or otherwise, other than embroidery of heading 58.10.; 5911 - Textile products and articles, for technical use, specified in Note 7 to chapter 59; 5901 - Textile fabrics coated with gum or amylaceous substances, of a kind used for the outer covers of books, the manufacture of boxes and articles of cardboard or the like; tracing cloth; prepared painting canvas; buckram and similar stiffened textile fabrics of a kind used for hat foundations (excl. plastic-coated textile fabrics); 5903 - Textile fabrics impregnated, coated, covered or laminated with plastics (excl. tyre cord fabric of high-tenacity yarn of nylon or other polyamides, polyesters or viscose rayon; wallcoverings impregnated or covered with textile materials; floor coverings consisting of a textile backing and a top layer or covering of plastics); 5904 - Linoleum, whether or not cut to shape; floor coverings consisting of a coating or covering applied on a textile backing, whether or not cut to shape; 5905 - Textile wall coverings.; 5906 - Rubberised textile fabrics (excl. tyre cord fabric of high-tenacity yarn of nylon or other polyamides, polyesters or viscose rayon); 5907 - Textile fabrics otherwise impregnated, coated or covered; painted canvas being theatrical scenery, studio back-cloths or the like.; 5908 - Textile wicks, woven, plaited or knitted , for lamps, stoves, lighters, candles or the like; incandescent gas mantles and tubular knitted gas mantle fabric therefor, whether or not impregnated.; 5909 - Textile hosepiping and similar textile tubing, with or without lining, armour or accessories of other materials.; 5902 - Tyre cord fabric of high-tenacity yarn of nylon or other polyamides, polyesters or viscose rayon, whether or not dipped or impregnated with rubber or plastic; 5804 - Tulles and other net fabrics (excl. woven, knitted or crocheted fabrics); lace in the piece, in strips or in motifs (excl. fabrics of heading 6002 to 6006); 6114 - Special garments for professional, sporting or other purposes, n.e.s., knitted or crocheted; 6116 - Gloves, mittens and mitts, knitted or crocheted (excl. for babies); 6303 - Curtains, incl. drapes, and interior blinds; curtain or bed valances of all types of textile materials (excl. awnings and sunblinds); 6304 - Articles for interior furnishing, of all types of textile materials (excl. blankets and travelling rugs, bedlinen, table linen, toilet linen, kitchen linen, curtains, incl. drapes, interior blinds, curtain or bed valances, lampshades and articles of heading 9404); 6305 - Sacks and bags, of a kind used for the packing of goods, of all types of textile materials; 6306 - Tarpaulins, awnings and sunblinds; tents; sails for boats, sailboards or landcraft; camping goods of all types of textile materials (excl. flat protective coverings of light woven fabrics; umbrella and play tents; rucksacks, napsacks and similar containers; sleeping bags, mattresses and pillows, incl. their fillings); 6307 - Made-up articles of textile materials, incl. dress patterns, n.e.s.; 6308 - Sets consisting of woven fabric and yarn, whether or not with accessories, for making up into rugs, tapestries, embroidered table cloths or serviettes, or similar textile articles, put up in packings for retail sale.; 6309 - Worn clothing and other worn articles.; 6302 - Bedlinen, table linen, toilet linen and kitchen linen of all types of textile materials (excl. floorcloths, polishing cloths, dishcloths and dusters); 6310 - Used or new rags, scrap twine, cordage, rope and cables and worn-out articles thereof, of textile materials; 6406 - Parts of footwear, incl. uppers whether or not attached to soles other than outer soles; removable in-soles, heel cushions and similar articles; gaiters, leggings and similar articles, and parts thereof (excl. articles of asbestos); 6507 - Head-bands, linings, covers, hat foundations, hat frames, peaks and chinstraps, for headgear.; 6601 - Umbrellas and sun umbrellas, incl. walking-stick umbrellas, garden umbrellas and similar umbrellas (excl. toy umbrellas and beach tents); 6603 - Parts, trimmings and accessories for umbrellas and sun umbrellas of heading 6601 or for walking sticks, seat-sticks, whips, riding-crops and the like of heading 6602; 6702 - Artificial flowers, foliage and fruit and parts thereof, and articles made of artificial flowers, foliage or fruit, by binding, glueing, fitting into one another or similar methods; 6703 - Human hair, dressed, thinned, bleached or otherwise worked; wool or other animal hair or other textile materials, prepared for use in making wigs or the like.; 6704 - Wigs, false beards, eyebrows and eyelashes, switches and the like, of human or animal hair or of textile materials; articles of human hair, n.e.s.; 6405 - Footwear with outer soles of rubber or plastics, with uppers other than rubber, plastics, leather or textile materials; footwear with outer soles of leather or composition leather, with uppers other than leather or textile materials; footwear with outer soles of wood, cork, twine, paperboard, furskin, woven fabrics, felt, nonwovens, linoleum, raffia, straw, loofah, etc and uppers of any type of material, n.e.s.; 6115 - Pantyhose, tights, stockings, socks and other hosiery, incl. graduated compression hosiery [e.g., stockings for varicose veins] and footwear without applied soles, knitted or crocheted (excl. for babies); 6301 - Blankets and travelling rugs of all types of textile materials (excl. table covers, bedspreads and articles of bedding and similar furnishing of heading 9404); 6216 - Gloves, mittens and mitts.; 6117 - Made-up clothing accessories, knitted or crocheted; knitted or crocheted parts of garments or of clothing accessories, n.e.s.; 6201 - Men''s or boys'' overcoats, car coats, capes, cloaks, anoraks, incl. ski jackets, windcheaters, wind-jackets and similar articles (excl. knitted or crocheted, suits, ensembles, jackets, blazers and trousers); 6202 - Women''s or girls'' overcoats, car coats, capes, cloaks, anoraks, incl. ski jackets, windcheaters, wind-jackets and similar articles (excl. knitted or crocheted, suits, ensembles, jackets, blazers and trousers); 6203 - Men''s or boys'' suits, ensembles, jackets, blazers, trousers, bib and brace overalls, breeches and shorts (excl. knitted or crocheted, wind-jackets and similar articles, separate waistcoats, tracksuits, ski suits and swimwear); 6204 - Women''s or girls'' suits, ensembles, jackets, blazers, dresses, skirts, divided skirts, trousers, bib and brace overalls, breeches and shorts (excl. knitted or crocheted, wind-jackets and similar articles, slips, petticoats and panties, tracksuits, ski suits and swimwear); 6205 - Men''s or boys'' shirts (excl. knitted or crocheted, nightshirts, singlets and other vests); 6206 - Women''s or girls'' blouses, shirts and shirt-blouses (excl. knitted or crocheted and vests); 6217 - Made-up clothing accessories and parts of garments or clothing accessories, of all types of textile materials, n.e.s. (excl. knitted or crocheted); 6207 - Men''s or boys'' singlets and other vests, underpants, briefs, nightshirts, pyjamas, bathrobes, dressing gowns and similar articles (excl. knitted or crocheted); 6209 - Babies'' garments and clothing accessories of textile materials (excl. knitted or crocheted and hats); 6210 - Garments made up of felt or nonwovens, whether or not impregnated, coated, covered or laminated; garments of textile fabrics, rubberised or impregnated, coated, covered or laminated with plastics or other substances (excl. knitted or crocheted, and babies'' garments and clothing accessories); 6211 - Tracksuits, ski suits, swimwear and other garments, n.e.s. (excl. knitted or crocheted); 6212 - Brassieres, girdles, corsets, braces, suspenders, garters and similar articles and parts thereof, of all types of textile materials, whether or not elasticated, incl. knitted or crocheted (excl. belts and corselets made entirely of rubber); 6213 - Handkerchiefs, of which no side exceeds 60 cm (excl. knitted or crocheted); 6214 - Shawls, scarves, mufflers, mantillas, veils and similar articles (excl. knitted or crocheted); 6215 - Ties, bow ties and cravats of textile materials (excl. knitted or crocheted); 6208 - Women''s or girls'' singlets and other vests, slips, petticoats, briefs, panties, nightdresses, pyjamas, négligés, bathrobes, dressing gowns, housecoats and similar articles (excl. knitted or crocheted, brassières, girdles, corsets and similar articles); 5803 - Gauze, other than narrow fabrics of heading 58.06.; 5802 - Terry towelling and similar woven terry fabrics, tufted textile fabrics (excl. narrow woven fabrics of heading 5806, carpets and other floor coverings); 5309 - Woven fabrics of flax; 5204 - Cotton sewing thread, whether or not put up for retail sale; 5205 - Cotton yarn other than sewing thread, containing &gt;= 85% cotton by weight (excl. that put up for retail sale); 5206 - Cotton yarn containing predominantly, but &lt; 85% cotton by weight (excl. sewing thread and yarn put up for retail sale); 5207 - Cotton yarn put up for retail sale (excl. sewing thread); 5208 - Woven fabrics of cotton, containing &gt;= 85% cotton by weight and weighing &lt;= 200 g/m²; 5209 - Woven fabrics of cotton, containing &gt;= 85% cotton by weight and weighing &gt; 200 g/m²; 5210 - Woven fabrics of cotton, containing predominantly, but &lt; 85% cotton by weight, mixed principally or solely with man-made fibres and weighing &lt;= 200 g/m²; 5203 - Cotton, carded or combed.; 5211 - Woven fabrics of cotton, containing predominantly, but &lt; 85% cotton by weight, mixed principally or solely with man-made fibres and weighing &gt; 200 g/m²; 5301 - Flax, raw or processed, but not spun; flax tow and waste, incl. yarn waste and garnetted stock; 5302 - True hemp "Cannabis sativa L.", raw or processed, but not spun; tow and waste of true hemp, incl. yarn waste and garnetted stock; 5303 - Jute and other textile bast fibres, raw or processed, but not spun; tow and waste of such fibres, incl. yarn waste and garnetted stock (excl. flax, true hemp and ramie); 5305 - Coconut, abaca (Manila hemp or Musa textilis Nee), ramie and other vegetable textile fibres, not elsewhere specified or included, raw or processed but not spun; tow, noils and waste of these fibres (including yarn waste and garnetted stock).; 5306 - Flax yarn; 5307 - Yarn of jute or of other textile bast fibres of heading 5303; 5308 - Yarn of vegetable textile fibres; paper yarn (excl. flax yarn, yarn of jute or of other textile bast fibres of heading 5303 and cotton yarn); 5212 - Woven fabrics of cotton, containing predominantly, but &lt; 85% cotton by weight, other than those mixed principally or solely with man-made fibres; 5801 - Woven pile fabrics and chenille fabrics (excl. terry towelling and similar woven terry fabrics, tufted textile fabrics and narrow woven fabrics of heading 5806); 5202 - Cotton waste, incl. yarn waste and garnetted stock; 5113 - Woven fabrics of coarse animal hair or of horsehair.; 5101 - Wool, neither carded nor combed; 5007 - Woven fabrics of silk or of silk waste; 5006 - Silk yarn and yarn spun from silk waste, put up for retail sale; silk-worm gut.; 5005 - Yarn spun from silk waste, not put up for retail sale.; 5004 - Silk yarn (other than yarn spun from silk waste) not put up for retail sale.; 5003 - Silk waste (including cocoons unsuitable for reeling, yarn waste and garnetted stock).; 5002 - Raw silk (not thrown).; 5201 - Cotton, not carded or combed.; 5001 - Silk-worm cocoons suitable for reeling.; 5106 - Carded wool yarn (excl. that put up for retail sale); 5107 - Yarn of combed wool (excl. that put up for retail sale); 5108 - Carded or combed yarn of fine animal hair (excl. that of wool or that put up for retail sale); 5109 - Yarn of wool or fine animal hair, put up for retail sale; 5110 - Yarn of coarse animal hair or of horsehair (including gimped horsehair yarn), whether or not put up for retail sale.; 5111 - Woven fabrics of carded wool or of carded fine animal hair (excl. fabrics for technical use of heading 5911); 5112 - Woven fabrics of combed wool or of combed fine animal hair (excl. fabrics for technical purposes of heading 5911); 5105 - Wool and fine or coarse animal hair, carded or combed, incl. combed wool in fragments; 5102 - Fine or coarse animal hair, neither carded nor combed (excl. wool, hair and bristles used in the manufacture of brooms and brushes, and horsehair from the mane or tail); 5310 - Woven fabrics of jute or of other textile bast fibres of heading 5303; 5402 - Synthetic filament yarn, incl. synthetic monofilaments of &lt; 67 decitex (excl. sewing thread and yarn put up for retail sale); 5515 - Woven fabrics containing predominantly, but &lt; 85% synthetic staple fibres by weight, other than those mixed principally or solely with cotton; 5516 - Woven fabrics of artificial staple fibres; 5601 - Wadding of textile materials and articles thereof; textile fibres with a length of &lt;= 5 mm "flock", textile dust and mill neps (excl. wadding and articles thereof impregnated or coated with pharmaceutical substances or put up for retail sale for medical, surgical, dental or veterinary purposes, and products impregnated, coated or covered with perfumes, cosmetics, soaps etc.); 5602 - Felt, whether or not impregnated, coated, covered or laminated, n.e.s.; 5603 - Nonwovens, whether or not impregnated, coated, covered or laminated, n.e.s.; 5604 - Textile-covered rubber thread and cord; textile yarn, strip and the like of heading 5404 and 5405, impregnated, coated, covered or sheathed with rubber or plastics (excl. imitation catgut, thread and cord with fish-hook attachments or otherwise put up as fishing line); 5605 - Metallised yarn, whether or not gimped, being textile yarn, or strip or the like of heading 54.04 or 54.05, combined with metal in the form of thread, strip or powder or covered with metal.; 5514 - Woven fabrics containing predominantly, but &lt; 85% synthetic staple fibres by weight, mixed principally or solely with cotton and weighing &gt; 170 g/m²; 5606 - Gimped yarn, and strip and the like of heading 54.04 or 54.05, gimped (other than those of heading 56.05 and gimped horsehair yarn); chenille yarn (including flock chenille yarn); loop wale-yarn.; 5608 - Knotted netting of twine, cordage or rope, by the piece or metre; made-up fishing nets and other made-up nets, of textile materials (excl. hairnets, nets for sporting purposes, incl. landing nets, butterfly nets and the like); 5609 - Articles of yarn, strip or the like of heading 54.04 or 54.05, twine, cordage, rope or cables, not elsewhere specified or included.; 5701 - Carpets and other textile floor coverings, of textile materials, knotted, whether or not made up; 5702 - Carpets and other textile floor coverings, woven, not tufted or flocked, whether or not made up, incl. Kelem, Schumacks, Karamanie and similar hand-woven rugs; 5703 - Carpets and other textile floor coverings, tufted "needle punched", whether or not made up; 5704 - Carpets and other floor coverings, of felt, not tufted or flocked, whether or not made up; 5705 - Other carpets and other textile floor coverings, whether or not made up.; 5607 - Twine, cordage, ropes and cables, whether or not plaited or braided and whether or not impregnated, coated, covered or sheathed with rubber or plastics; 5401 - Sewing thread of man-made filaments, whether or not put up for retail sale; 5513 - Woven fabrics containing predominantly, but &lt; 85% synthetic staple fibres by weight, mixed principally or solely with cotton and weighing &lt;= 170 g/m²; 5511 - Yarn of man-made staple fibres, put up for retail sale (excl. sewing thread); 5403 - Artificial filament yarn, incl. artificial monofilament of &lt; 67 decitex (excl. sewing thread and yarn put up for retail sale); 5404 - Synthetic monofilament of &gt;= 67 decitex and with a cross sectional dimension of &lt;= 1 mm; strip and the like, e.g. artificial straw, of synthetic textile material, with an apparent width of &lt;= 5 mm; 5405 - Artificial monofilament of 67 decitex or more and of which no cross-sectional dimension exceeds 1 mm; strip and the like (for example, artificial straw) of artificial textile materials of an apparent width not exceeding 5 mm.; 5406 - Man-made filament yarn (other than sewing thread), put up for retail sale.; 5407 - Woven fabrics of synthetic filament yarn, incl. monofilament of &gt;= 67 decitex and with a cross sectional dimension of &lt;= 1 mm; 5408 - Woven fabrics of artificial filament yarn, incl. monofilament of &gt;= 67 decitex and a maximum diameter of &lt;= 1 mm; 5501 - Synthetic filament tow as specified in Note 1 to chapter 55; 5512 - Woven fabrics containing &gt;= 85% synthetic staple fibres by weight; 5502 - Artificial filament tow.; 5504 - Artificial staple fibres, not carded, combed or otherwise processed for spinning; 5505 - Waste of man-made staple fibres, incl. noils, yarn waste and garnetted stock; 5506 - Synthetic staple fibres, carded, combed or otherwise processed for spinning; 5507 - Artificial staple fibres, carded, combed or otherwise processed for spinning.; 5508 - Sewing thread of man-made staple fibres, whether or not put up for retail sale; 5509 - Yarn of synthetic staple fibres (excl. sewing thread and yarn put up for retail sale); 5510 - Yarn of artificial staple fibres (excl. sewing thread and yarn put up for retail sale); 5503 - Synthetic staple fibres, not carded, combed or otherwise processed for spinning; 5103 - Waste of wool or of fine or coarse animal hair, incl. yarn waste (excl. garnetted stock, waste of hair and bristles used in the manufacture of brooms and brushes, and of horsehair from the mane or tail); 5001 - Silk-worm cocoons suitable for reeling.; 6003 - Knitted or crocheted fabrics, of a width &lt;= 30 cm (excl. those containing by weight &gt;= 5% of elastomeric yarn or  rubber thread, and pile fabrics, incl. "long pile", looped pile fabrics, labels, badges and similar articles, and knitted or crocheted fabrics, impregnated, coated, covered or laminated); 6004 - Knitted or crocheted fabrics, of a width &gt;  30 cm, containing by weight &gt;= 5% of elastomeric yarn or  rubber thread (excl. pile fabrics, incl. "long pile", looped pile fabrics, labels, badges and similar articles, and knitted or crocheted fabrics, impregnated, coated, covered or laminated); 6005 -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 6006 -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 6101 - Men''s or boys'' overcoats, car coats, capes, cloaks, anoraks, incl. ski jackets, windcheaters, wind-jackets and similar articles, knitted or crocheted (excl. suits, ensembles, jackets, blazers, bib and brace overalls and trousers); 6102 - Women''s or girls'' overcoats, car coats, capes, cloaks, anoraks, incl. ski jackets, windcheaters, wind-jackets and similar articles, knitted or crocheted (excl. suits, ensembles, jackets, blazers, dresses, skirts, divided skirts, trousers, bib and brace overalls); 6103 - Men''s or boys'' suits, ensembles, jackets, blazers, trousers, bib and brace overalls, breeches and shorts (excl. wind-jackets and similar articles, separate waistcoats, tracksuits, ski suits and swimwear); 6002 - Knitted or crocheted fabrics, of a width &lt;=  30 cm, containing by weight &gt;= 5% of elastomeric yarn or  rubber thread (excl. pile fabrics, incl. "long pile", looped pile fabrics, labels, badges and similar articles, and knitted or crocheted fabrics, impregnated, coated, covered or laminated); 6104 - Women''s or girls'' suits, ensembles, jackets, blazers, dresses, skirts, divided skirts, trousers, bib and brace overalls, breeches and shorts, knitted or crocheted (excl. wind-jackets and similar articles, slips, petticoats and panties, tracksuits, ski suits and swimwear); 6106 - Women''s or girls'' blouses, shirts and shirt-blouses, knitted or crocheted (excl. T-shirts and vests); 6107 - Men''s or boys'' underpants, briefs, nightshirts, pyjamas, bathrobes, dressing gowns and similar articles, knitted or crocheted (excl. vests and singlets); 6108 - Women''s or girls'' slips, petticoats, briefs, panties, nightdresses, pyjamas, négligés, bathrobes, dressing gowns, housecoats and similar articles, knitted or crocheted (excl. T-shirts, vests, brassieres, girdles, corsets and similar articles); 6109 - T-shirts, singlets and other vests, knitted or crocheted; 6110 - Jerseys, pullovers, cardigans, waistcoats and similar articles, knitted or crocheted (excl. wadded waistcoats); 6111 - Babies'' garments and clothing accessories, knitted or crocheted (excl. hats); 6112 - Track-suits, ski-suits and swimwear, knitted or crocheted; 6105 - Men''s or boys'' shirts, knitted or crocheted (excl. nightshirts, T-shirts, singlets and other vests); 6113 - Garments, made up of knitted or crocheted fabrics of heading 59.03, 59.06 or 59.07.; 6001 - Pile fabrics, incl. "long pile" fabrics and terry fabrics, knitted or crocheted; 5910 - Transmission or conveyor belts or belting, of textile material, whether or not impregnated, coated, covered or laminated with plastics, or reinforced with metal or other material.; 5805 - Hand-woven tapestries of the type Gobelins, Flanders, Aubusson, Beauvais and the like, and needle-worked tapestries (for example, petit point, cross stitch), whether or not made up.; 5806 - Narrow woven fabrics of textile materials, with a width of &lt;= 30 cm (excl. labels, badges and similar articles); narrow fabrics consisting of warp without weft assembled by means of an adhesive "bolducs"; 5807 - Labels, badges and similar articles, of textile materials, in the piece, in strips or cut to shape or size, not embroidered; 5808 - Braids of textile materials, in the piece; ornamental trimmings of textile materials, in the piece, not embroidered, other than knitted or crocheted; tassels, pompons and similar articles of textile materials; 5809 - Woven fabrics of metal thread and woven fabrics of metallised yarn of heading 56.05, of a kind used in apparel, as furnishing fabrics or for similar purposes, not elsewhere specified or included.; 5810 - Embroidery on a textile fabric ground, in the piece, in strips or in motifs; 5811 - Quilted textile products in the piece, composed of one or more layers of textile materials assembled with padding by stitching or otherwise, other than embroidery of heading 58.10.; 5911 - Textile products and articles, for technical use, specified in Note 7 to chapter 59; 5901 - Textile fabrics coated with gum or amylaceous substances, of a kind used for the outer covers of books, the manufacture of boxes and articles of cardboard or the like; tracing cloth; prepared painting canvas; buckram and similar stiffened textile fabrics of a kind used for hat foundations (excl. plastic-coated textile fabrics); 5903 - Textile fabrics impregnated, coated, covered or laminated with plastics (excl. tyre cord fabric of high-tenacity yarn of nylon or other polyamides, polyesters or viscose rayon; wallcoverings impregnated or covered with textile materials; floor coverings consisting of a textile backing and a top layer or covering of plastics); 5904 - Linoleum, whether or not cut to shape; floor coverings consisting of a coating or covering applied on a textile backing, whether or not cut to shape; 5905 - Textile wall coverings.; 5906 - Rubberised textile fabrics (excl. tyre cord fabric of high-tenacity yarn of nylon or other polyamides, polyesters or viscose rayon); 5907 - Textile fabrics otherwise impregnated, coated or covered; painted canvas being theatrical scenery, studio back-cloths or the like.; 5908 - Textile wicks, woven, plaited or knitted , for lamps, stoves, lighters, candles or the like; incandescent gas mantles and tubular knitted gas mantle fabric therefor, whether or not impregnated.; 5909 - Textile hosepiping and similar textile tubing, with or without lining, armour or accessories of other materials.; 5902 - Tyre cord fabric of high-tenacity yarn of nylon or other polyamides, polyesters or viscose rayon, whether or not dipped or impregnated with rubber or plastic; 5804 - Tulles and other net fabrics (excl. woven, knitted or crocheted fabrics); lace in the piece, in strips or in motifs (excl. fabrics of heading 6002 to 6006); 6114 - Special garments for professional, sporting or other purposes, n.e.s., knitted or crocheted; 6116 - Gloves, mittens and mitts, knitted or crocheted (excl. for babies); 6303 - Curtains, incl. drapes, and interior blinds; curtain or bed valances of all types of textile materials (excl. awnings and sunblinds); 6304 - Articles for interior furnishing, of all types of textile materials (excl. blankets and travelling rugs, bedlinen, table linen, toilet linen, kitchen linen, curtains, incl. drapes, interior blinds, curtain or bed valances, lampshades and articles of heading 9404); 6305 - Sacks and bags, of a kind used for the packing of goods, of all types of textile materials; 6306 - Tarpaulins, awnings and sunblinds; tents; sails for boats, sailboards or landcraft; camping goods of all types of textile materials (excl. flat protective coverings of light woven fabrics; umbrella and play tents; rucksacks, napsacks and similar containers; sleeping bags, mattresses and pillows, incl. their fillings); 6307 - Made-up articles of textile materials, incl. dress patterns, n.e.s.; 6308 - Sets consisting of woven fabric and yarn, whether or not with accessories, for making up into rugs, tapestries, embroidered table cloths or serviettes, or similar textile articles, put up in packings for retail sale.; 6309 - Worn clothing and other worn articles.; 6302 - Bedlinen, table linen, toilet linen and kitchen linen of all types of textile materials (excl. floorcloths, polishing cloths, dishcloths and dusters); 6310 - Used or new rags, scrap twine, cordage, rope and cables and worn-out articles thereof, of textile materials; 6406 - Parts of footwear, incl. uppers whether or not attached to soles other than outer soles; removable in-soles, heel cushions and similar articles; gaiters, leggings and similar articles, and parts thereof (excl. articles of asbestos); 6507 - Head-bands, linings, covers, hat foundations, hat frames, peaks and chinstraps, for headgear.; 6601 - Umbrellas and sun umbrellas, incl. walking-stick umbrellas, garden umbrellas and similar umbrellas (excl. toy umbrellas and beach tents); 6603 - Parts, trimmings and accessories for umbrellas and sun umbrellas of heading 6601 or for walking sticks, seat-sticks, whips, riding-crops and the like of heading 6602; 6702 - Artificial flowers, foliage and fruit and parts thereof, and articles made of artificial flowers, foliage or fruit, by binding, glueing, fitting into one another or similar methods; 6703 - Human hair, dressed, thinned, bleached or otherwise worked; wool or other animal hair or other textile materials, prepared for use in making wigs or the like.; 6704 - Wigs, false beards, eyebrows and eyelashes, switches and the like, </t>
  </si>
  <si>
    <t>59.080 - Products of the textile industry; 59.080 - Products of the textile industry; 61.020 - Clothes; 61.020 - Clothes</t>
  </si>
  <si>
    <r>
      <rPr>
        <sz val="11"/>
        <rFont val="Calibri"/>
      </rPr>
      <t xml:space="preserve">https://members.wto.org/crnattachments/2026/TBT/SAU/modification/26_01194_00_x.pdf
https://members.wto.org/crnattachments/2026/TBT/SAU/modification/26_01194_01_x.pdf
Aligning the provisions of the Technical Regulation with the recently issued Product Safety Law.
</t>
    </r>
  </si>
  <si>
    <t>Draft Order of the Ministry of Economy, Environment and Agriculture of Ukraine “On Amendments to the Order of the Ministry of Agrarian Policy and Food of Ukraine No. 391 of 14 February 2024”</t>
  </si>
  <si>
    <t>The draft Order provides for amendments to the Order of the Ministry of Agrarian Policy and Food of Ukraine No. 391 "On Approval of the Requirements for Fruit Jams, Jellies, Marmalades and Sweetened Chestnut Purée" of 14 February 2024 (notified in document G/SPS/N/UKR/217/Add.1) and to the Requirements by setting them out in a new version._x000D_
The proposed new version of the Requirements provides, in particular, for the following supplements:_x000D_
- the possibility of using the names 'marmalade' and 'marmalade extra' instead of the names of food products "jam" and “jam extra” respectively, except in cases where jam and jam extra are made from citrus fruits;_x000D_
- an increase in the minimum total fruit content in the production of jam and extra jam, thereby reducing the amount of added sugar needed to achieve the minimum soluble dry matter content in these products, and contributing to healthier nutrition;_x000D_
- the possibility of adding appropriate concentrated juices in the production of jam, jelly, as well as the addition of food additives that comply with the Requirements for Food Additives, approved by the Order of the Ministry of Health of Ukraine No. 45 "On Approval of Requirements for Food Flavours, Requirements for Food Additives and Requirements for Food Enzymes" of 8 January 2024 (notified in document G/SPS/N/UKR/200/Rev.1/Add.1)._x000D_
The draft Order also proposes to exclude provisions regarding the use of sulphur dioxide (E 220) or its salts (E 221, E 222, E 223, E 224, E 226 and E 227) in the processing of fruit raw materials.Furthermore, pursuant to the amendments proposed to paragraph 3 of the Order of the Ministry of Agrarian Policy and Food of Ukraine No. 391 of 14 February 2024, the words “may be placed on the market for three years” shall be replaced with the words “may be produced and/or placed on the market for three years”.The draft Order was developed in order to implement EU legislation._x000D_
The draft Order is also notified under the TBT Agreement.</t>
  </si>
  <si>
    <t>Fruit jams, jellies, marmalades, sweetened chestnut purée</t>
  </si>
  <si>
    <r>
      <rPr>
        <sz val="11"/>
        <rFont val="Calibri"/>
      </rPr>
      <t>https://members.wto.org/crnattachments/2026/SPS/UKR/26_01190_00_x.pdf
https://me.gov.ua/Documents/Detail/1729f49f-c542-4648-a976-abb7660a60e4?lang=uk-UA&amp;title=ProktNakazuMinisterstvaEkonomiki-DovkilliaTaSilskogoGospodarstvaUkrainiproVnesenniaZminDoNakazuMinisterstvaAgrarnoiPolitikiTaProdovolstvaUkrainiVid14-Liutogo2024-Roku391-</t>
    </r>
  </si>
  <si>
    <t>Technical regulation for Paper and board</t>
  </si>
  <si>
    <t>3703, 3704, 4801, 4802, 4803, 4804, 4805, 4806, 4807, 4808, 4809, 4810, 4811, 4812, 4817, 4818, 4819, 4820, 4821, 4822, 4823</t>
  </si>
  <si>
    <t>3703 - Photographic paper, paperboard and textiles, sensitised, unexposed; 3704 - Photographic plates, film, paper, paperboard and textiles, exposed but not developed; 4801 - Newsprint as specified in Note 4 to chapter 48, in rolls of a width &gt; 28 cm or in square or rectangular sheets with one side &gt; 28 cm and the other side &gt; 15 cm in the unfolded state; 4802 - Uncoated paper and paperboard, of a kind used for writing, printing or other graphic purposes, and non-perforated punchcards and punch-tape paper, in rolls or in square or rectangular sheets, of any size, and handmade paper and paperboard (excl. newsprint of heading 4801 and paper of heading 4803); 4803 - Toilet or facial tissue stock, towel or napkin stock and similar paper for household or sanitary purposes, cellulose wadding and webs of cellulose fibres, whether or not creped, crinkled, embossed, perforated, surface-coloured, surface-decorated or printed, in rolls of a width &gt; 36 cm or in square or rectangular sheets with one side &gt; 36 cm and the other side &gt; 15 cm in the unfolded state; 4804 - Uncoated kraft paper and paperboard, in rolls of a width &gt; 36 cm or in square or rectangular sheets with one side &gt; 36 cm and the other side &gt; 15 cm in the unfolded state (excl. goods of heading 4802 or 4803); 4805 - Other paper and paperboard, uncoated, in rolls of a width &gt; 36 cm or in square or rectangular sheets with one side &gt; 36 cm and the other side &gt; 15 cm in the unfolded state, not worked other than as specified in Note 3 to this chapter, n.e.s.; 4806 - Vegetable parchment, greaseproof papers, tracing papers and glassine and other glazed transparent or translucent papers, in rolls of a width &gt; 36 cm or in square or rectangular sheets with one side &gt; 36 cm and the other side &gt; 15 cm in the unfolded state; 4807 - Composite paper and paperboard "made by sticking flat layers of paper or paperboard together with an adhesive", not surface-coated or impregnated, whether or not internally reinforced, in rolls of a width &gt; 36 cm or in square or rectangular sheets with one side &gt; 36 cm and the other side &gt; 15 cm in the unfolded state; 4808 - Corrugated paper and paperboard "with or without glued flat surface sheets", creped, crinkled, embossed or perforated, in rolls of a width &gt; 36 cm or in square or rectangular sheets with one side &gt; 36 cm and the other side &gt; 15 cm in the unfolded state (excl. goods of heading 4803); 4809 - Carbon paper, self-copy paper and other copying or transfer papers, incl. coated or impregnated paper for duplicator stencils or offset plates, whether or not printed, in rolls of a width &gt; 36 cm or in square or rectangular sheets with one side &gt; 36 cm and the other side &gt; 15 cm in the unfolded state; 4810 - Paper and paperboard, coated on one or both sides with kaolin "China clay" or other inorganic substances, with or without a binder, and with no other coating, whether or not surface-coloured, surface-decorated or printed, in rolls or in square or rectangular sheets, of any size (excl. all other coated papers and paperboards); 4811 - Paper, paperboard, cellulose wadding and webs of cellulose fibres, coated, impregnated, covered, surface-coloured, surface-decorated or printed, in rolls or in square or rectangular sheets, of any size (excl. goods of heading 4803, 4809 and 4810); 4812 - Filter blocks, slabs and plates, of paper pulp; 4817 - Envelopes, letter cards, plain postcards and correspondence cards, of paper or paperboard; boxes, pouches, wallets and writing compendiums, of paper or paperboard, containing an assortment of paper stationery (excl. letter cards, postcards and correspondence cards with imprinted postage stamps); 4818 - Toilet paper and similar paper, cellulose wadding or webs of cellulose fibres, of a kind used for household or sanitary purposes, in rolls of a width &lt;= 36 cm, or cut to size or shape; handkerchiefs, cleansing tissues, towels, tablecloths, serviettes, bedsheets and similar household, sanitary or hospital articles, articles of apparel and clothing accessories, of paper pulp, paper, cellulose wadding or webs of cellulose fibres; 4819 - Cartons, boxes, cases, bags and other packing containers, of paper, paperboard, cellulose wadding or webs of cellulose fibres, n.e.s.; box files, letter trays, and similar articles, of paperboard of a kind used in offices, shops or the like; 4820 - Registers, account books, notebooks, order books, receipt books, letter pads, memorandum pads, diaries and similar articles, exercise books, blotting pads, binders, folders, file covers, manifold business forms, interleaved carbon sets and other articles of stationery, of paper or paperboard; albums for samples or for collections and book covers, of paper and paperboard; 4821 - Paper or paperboard labels of all kinds, whether or not printed; 4822 - Bobbins, spools, cops and similar supports of paper pulp, paper or paperboard, whether or not perforated or hardened; 4823 - Paper, paperboard, cellulose wadding and webs of cellulose fibres, in strips or rolls of a width &lt;= 36 cm, in rectangular or square sheets of which no side &gt; 36 cm in the unfolded state, or cut to shape other than rectangular or square, and articles of paper pulp, paper, paperboard, cellulose wadding or webs or cellulose fibres, n.e.s.; 3703 - Photographic paper, paperboard and textiles, sensitised, unexposed; 4821 - Paper or paperboard labels of all kinds, whether or not printed; 4822 - Bobbins, spools, cops and similar supports of paper pulp, paper or paperboard, whether or not perforated or hardened; 4803 - Toilet or facial tissue stock, towel or napkin stock and similar paper for household or sanitary purposes, cellulose wadding and webs of cellulose fibres, whether or not creped, crinkled, embossed, perforated, surface-coloured, surface-decorated or printed, in rolls of a width &gt; 36 cm or in square or rectangular sheets with one side &gt; 36 cm and the other side &gt; 15 cm in the unfolded state; 4807 - Composite paper and paperboard "made by sticking flat layers of paper or paperboard together with an adhesive", not surface-coated or impregnated, whether or not internally reinforced, in rolls of a width &gt; 36 cm or in square or rectangular sheets with one side &gt; 36 cm and the other side &gt; 15 cm in the unfolded state; 4812 - Filter blocks, slabs and plates, of paper pulp; 4823 - Paper, paperboard, cellulose wadding and webs of cellulose fibres, in strips or rolls of a width &lt;= 36 cm, in rectangular or square sheets of which no side &gt; 36 cm in the unfolded state, or cut to shape other than rectangular or square, and articles of paper pulp, paper, paperboard, cellulose wadding or webs or cellulose fibres, n.e.s.; 4804 - Uncoated kraft paper and paperboard, in rolls of a width &gt; 36 cm or in square or rectangular sheets with one side &gt; 36 cm and the other side &gt; 15 cm in the unfolded state (excl. goods of heading 4802 or 4803); 4808 - Corrugated paper and paperboard "with or without glued flat surface sheets", creped, crinkled, embossed or perforated, in rolls of a width &gt; 36 cm or in square or rectangular sheets with one side &gt; 36 cm and the other side &gt; 15 cm in the unfolded state (excl. goods of heading 4803); 4809 - Carbon paper, self-copy paper and other copying or transfer papers, incl. coated or impregnated paper for duplicator stencils or offset plates, whether or not printed, in rolls of a width &gt; 36 cm or in square or rectangular sheets with one side &gt; 36 cm and the other side &gt; 15 cm in the unfolded state; 4820 - Registers, account books, notebooks, order books, receipt books, letter pads, memorandum pads, diaries and similar articles, exercise books, blotting pads, binders, folders, file covers, manifold business forms, interleaved carbon sets and other articles of stationery, of paper or paperboard; albums for samples or for collections and book covers, of paper and paperboard; 4805 - Other paper and paperboard, uncoated, in rolls of a width &gt; 36 cm or in square or rectangular sheets with one side &gt; 36 cm and the other side &gt; 15 cm in the unfolded state, not worked other than as specified in Note 3 to this chapter, n.e.s.; 4817 - Envelopes, letter cards, plain postcards and correspondence cards, of paper or paperboard; boxes, pouches, wallets and writing compendiums, of paper or paperboard, containing an assortment of paper stationery (excl. letter cards, postcards and correspondence cards with imprinted postage stamps); 4801 - Newsprint as specified in Note 4 to chapter 48, in rolls of a width &gt; 28 cm or in square or rectangular sheets with one side &gt; 28 cm and the other side &gt; 15 cm in the unfolded state; 4802 - Uncoated paper and paperboard, of a kind used for writing, printing or other graphic purposes, and non-perforated punchcards and punch-tape paper, in rolls or in square or rectangular sheets, of any size, and handmade paper and paperboard (excl. newsprint of heading 4801 and paper of heading 4803); 4806 - Vegetable parchment, greaseproof papers, tracing papers and glassine and other glazed transparent or translucent papers, in rolls of a width &gt; 36 cm or in square or rectangular sheets with one side &gt; 36 cm and the other side &gt; 15 cm in the unfolded state; 4818 - Toilet paper and similar paper, cellulose wadding or webs of cellulose fibres, of a kind used for household or sanitary purposes, in rolls of a width &lt;= 36 cm, or cut to size or shape; handkerchiefs, cleansing tissues, towels, tablecloths, serviettes, bedsheets and similar household, sanitary or hospital articles, articles of apparel and clothing accessories, of paper pulp, paper, cellulose wadding or webs of cellulose fibres; 3704 - Photographic plates, film, paper, paperboard and textiles, exposed but not developed; 4810 - Paper and paperboard, coated on one or both sides with kaolin "China clay" or other inorganic substances, with or without a binder, and with no other coating, whether or not surface-coloured, surface-decorated or printed, in rolls or in square or rectangular sheets, of any size (excl. all other coated papers and paperboards); 4811 - Paper, paperboard, cellulose wadding and webs of cellulose fibres, coated, impregnated, covered, surface-coloured, surface-decorated or printed, in rolls or in square or rectangular sheets, of any size (excl. goods of heading 4803, 4809 and 4810); 4819 - Cartons, boxes, cases, bags and other packing containers, of paper, paperboard, cellulose wadding or webs of cellulose fibres, n.e.s.; box files, letter trays, and similar articles, of paperboard of a kind used in offices, shops or the like</t>
  </si>
  <si>
    <t>85.060 - Paper and board; 85.060 - Paper and board</t>
  </si>
  <si>
    <r>
      <rPr>
        <sz val="11"/>
        <rFont val="Calibri"/>
      </rPr>
      <t xml:space="preserve">https://members.wto.org/crnattachments/2026/TBT/SAU/modification/26_01204_00_x.pdf
https://members.wto.org/crnattachments/2026/TBT/SAU/modification/26_01204_01_x.pdf
Aligning the provisions of the Technical Regulation with the recently issued Product Safety Law.
</t>
    </r>
  </si>
  <si>
    <t>Notice of Administration Order of Saudi Food and Drug Authority Ref. No. 36972 dated 1 March 2026 entitled “Temporary ban on importation of poultry meat, eggs and their products originating from Maine-et-Loire in France”</t>
  </si>
  <si>
    <t>Following the WOAH report dated 19 February 2026, a Highly pathogenic avian influenza (HPAI) virus outbreak has occurred in Maine-et-Loire in France. In compliance with the World Organisation for Animal Health (WOAH), Terrestrial Animal Health Code Chapter 10.4, it is deemed necessary for the Kingdom of Saudi Arabia to prevent the entry of the HPAI virus into the country. Therefore, the import of poultry meat, eggs and their products from Maine-et-Loire in France to the Kingdom of Saudi Arabia is temporarily suspended (with the exception of processed poultry meat and egg products exposed to either heat or other treatments that ensure deactivation of the HPAI virus, as long as it conforms with the approved health requirements, and standards, with a health certificate issued by the official bodies in France prove that the product is free from the virus).</t>
  </si>
  <si>
    <t>Poultry meat, eggs and their products</t>
  </si>
  <si>
    <t>Animal health; Food safety; Human health; Pest- or Disease- free Regions / Regionalization</t>
  </si>
  <si>
    <t>France</t>
  </si>
  <si>
    <r>
      <rPr>
        <sz val="11"/>
        <rFont val="Calibri"/>
      </rPr>
      <t>https://members.wto.org/crnattachments/2026/SPS/SAU/26_01189_00_x.pdf</t>
    </r>
  </si>
  <si>
    <t>Technical Regulation for Pressure Equipment</t>
  </si>
  <si>
    <t>7311; 8402; 8403; 8404; 8414^; 8468; 8481</t>
  </si>
  <si>
    <t>7311 - Containers of iron or steel, for compressed or liquefied gas (excl. containers specifically constructed or equipped for one or more types of transport); 8402 - Steam or other vapour generating boilers (excl. central heating hot water boilers capable also of producing low pressure steam); superheated water boilers; parts thereof; 8403 - Central heating boilers, non-electric; parts thereof (excl. vapour generating boilers and superheated water boilers of heading 8402); 8404 - Auxiliary plant for use with boilers of heading 8402 or 8403, e.g. economizers, superheaters, soot removers and gas recoverers; condensers for steam or other vapour power units; parts thereof; 8414 - Air or vacuum pumps (excl. gas compound elevators and pneumatic elevators and conveyors); air or other gas compressors and fans; ventilating or recycling hoods incorporating a fan, whether or not fitted with filters; parts thereof; 8468 - Machinery and apparatus for soldering, brazing or welding, whether or not capable of cutting (other than those of heading 8515); gas-operated surface tempering machines and appliances; parts thereof; 8481 - Taps, cocks, valves and similar appliances for pipes, boiler shells, tanks, vats or the like, incl. pressure-reducing valves and thermostatically controlled valves; parts thereof; 7311 - Containers of iron or steel, for compressed or liquefied gas (excl. containers specifically constructed or equipped for one or more types of transport); 8402 - Steam or other vapour generating boilers (excl. central heating hot water boilers capable also of producing low pressure steam); superheated water boilers; parts thereof; 8403 - Central heating boilers, non-electric; parts thereof (excl. vapour generating boilers and superheated water boilers of heading 8402); 8404 - Auxiliary plant for use with boilers of heading 8402 or 8403, e.g. economizers, superheaters, soot removers and gas recoverers; condensers for steam or other vapour power units; parts thereof; 8414 - Air or vacuum pumps (excl. gas compound elevators and pneumatic elevators and conveyors); air or other gas compressors and fans; ventilating or recycling hoods incorporating a fan, whether or not fitted with filters; parts thereof; 8468 - Machinery and apparatus for soldering, brazing or welding, whether or not capable of cutting (other than those of heading 8515); gas-operated surface tempering machines and appliances; parts thereof; 8481 - Taps, cocks, valves and similar appliances for pipes, boiler shells, tanks, vats or the like, incl. pressure-reducing valves and thermostatically controlled valves; parts thereof</t>
  </si>
  <si>
    <t>23.020 - Fluid storage devices; 23.020 - Fluid storage devices; 23.060 - Valves; 23.060 - Valves; 23.080 - Pumps; 23.080 - Pumps; 27.060 - Burners. Boilers; 27.060 - Burners. Boilers</t>
  </si>
  <si>
    <r>
      <rPr>
        <sz val="11"/>
        <rFont val="Calibri"/>
      </rPr>
      <t xml:space="preserve">https://members.wto.org/crnattachments/2026/TBT/SAU/modification/26_01193_00_x.pdf
https://members.wto.org/crnattachments/2026/TBT/SAU/modification/26_01193_01_x.pdf
Aligning the provisions of the Technical Regulation with the recently issued Product Safety Law.
</t>
    </r>
  </si>
  <si>
    <t>Draft Decision of the Council of the Eurasian Economic Commission on Amendments to the Customs Union Commission Decision as of 18 June 2010 No. 318</t>
  </si>
  <si>
    <t>The purpose of the Draft is to ensure uniform application of the Procedures for conducting quarantine phytosanitary control (supervision) at the customs border and on the customs territory of the EAEU, established by the Customs Union Commission Decision of 18 June 2010 No. 318. It also technically amends paragraph 4.1.6 of the above-mentioned Procedure applicable at the customs border.</t>
  </si>
  <si>
    <t>Goods (products) subject to phytosanitary control</t>
  </si>
  <si>
    <r>
      <rPr>
        <sz val="11"/>
        <rFont val="Calibri"/>
      </rPr>
      <t>https://regulation.eaeunion.org/orv/3352/</t>
    </r>
  </si>
  <si>
    <t>Anteproyecto del Reglamento que establece metas de recolección y valorización y otras obligaciones asociadas a Baterías </t>
  </si>
  <si>
    <t>The notified text seeks to establish targets for the collection and recovery of batteries, a priority product, and related obligations, in order to prevent such waste being produced and to promote its reuse and recovery.</t>
  </si>
  <si>
    <t>Baterias</t>
  </si>
  <si>
    <t>8506 - Primary cells and primary batteries, electrical; parts thereof (excl. spent)</t>
  </si>
  <si>
    <t>29.220 - Galvanic cells and batteries</t>
  </si>
  <si>
    <r>
      <rPr>
        <sz val="11"/>
        <rFont val="Calibri"/>
      </rPr>
      <t>https://members.wto.org/crnattachments/2026/TBT/CHL/26_01157_00_s.pdf
https://economiacircular.mma.gob.cl/wp-content/uploads/2026/02/1.-RE-821-2026-Aprueba-Anteproyecto-REP-Baterias.pdf  
https://consultasciudadanas.mma.gob.cl/portal/consulta/225</t>
    </r>
  </si>
  <si>
    <t>· Resolution No. 1138/2023, Da inicio a la elaboración del decreto supremo de Baterías· Resolution No. 1278/2023, Convoca a representantes a postular comité operativo ampliado ("COA")· Resolution No. 99/2024, Designación integrantes COA· Resolution No. 821/2026, Aprueba Anteproyecto de DS de Baterías e inicia Participación Ciudadana</t>
  </si>
  <si>
    <t>Draft. Establishes the phytosanitary requirements for the import of plant propagation material of vanilla (Vanilla spp.) produced in any origin</t>
  </si>
  <si>
    <t>Draft Ordinance aiming to establish the phytosanitary requirements for the importation into Brazil of plant propagation material (Category 4) of vanilla (Vanilla spp.</t>
  </si>
  <si>
    <t>Vanilla spp.</t>
  </si>
  <si>
    <t>0905 - Vanilla</t>
  </si>
  <si>
    <t>Plant diseases; Plant health; Territory protection</t>
  </si>
  <si>
    <r>
      <rPr>
        <sz val="11"/>
        <rFont val="Calibri"/>
      </rPr>
      <t>https://members.wto.org/crnattachments/2026/SPS/BRA/26_01153_00_x.pdf
https://members.wto.org/crnattachments/2026/SPS/BRA/26_01153_00_e.pdf</t>
    </r>
  </si>
  <si>
    <t>Resolución para regular la importación de plantas con raíz de Arándano Azul (Vaccinium corymbosum) para propagación originarios del Estado de Carolina del Norte, Estados Unidos (Resolution governing the importation of rooted blueberry (Vaccinium corymbosum) plants for propagation originating in the state of North Carolina, United States)Costa Rica hereby advises of the entry into force of the phytosanitary measures notified in document G/SPS/N/CRI/346, adopted pursuant to Resolution No. 012-2026-CV-ARP-SFE of the State Phytosanitary Service, Plant Quarantine Department, Pest Risk Analysis Unit. The notified Resolution establishes the phytosanitary requirements for the importation of rooted blueberry (Vaccinium corymbosum) plants for propagation, originating in the state of North Carolina, United States of America.https://members.wto.org/crnattachments/2026/SPS/CRI/26_01173_00_s.pdf</t>
  </si>
  <si>
    <t>Live blueberry plants, including their roots, for propagation (HS code: 0602)</t>
  </si>
  <si>
    <t>0602 - Live plants incl. their roots, cuttings and slips; mushroom spawn (excl. bulbs, tubers, tuberous roots, corms, crowns and rhizomes, and chicory plants and roots); 0602 - Live plants incl. their roots, cuttings and slips; mushroom spawn (excl. bulbs, tubers, tuberous roots, corms, crowns and rhizomes, and chicory plants and roots)</t>
  </si>
  <si>
    <t>Adoption/publication/entry into force of reg.; Plant health; Pest- or Disease- free Regions / Regionalization; Territory protection; Territory protection; Pest- or Disease- free Regions / Regionalization; Plant health</t>
  </si>
  <si>
    <r>
      <rPr>
        <sz val="11"/>
        <rFont val="Calibri"/>
      </rPr>
      <t>https://members.wto.org/crnattachments/2026/SPS/CRI/26_01173_00_s.pdf</t>
    </r>
  </si>
  <si>
    <t>Technical Regulation for the Mandatory Product Certification of Power Banks and Portable Power Packs</t>
  </si>
  <si>
    <t>This DAO aims to strictly ensure that power banks and portable power packs to be imported, manufactured, distributed, or sold in the Philippines meet the specified safety requirements.</t>
  </si>
  <si>
    <t>Galvanic cells and batteries (ICS code(s): 29.220)</t>
  </si>
  <si>
    <t>This Order shall take effect fifteen (15) days after its publication in a national newspaper of general circulation, a copy of which shall be submitted to the UP Office of National Administrative Register. Transitory period is provided for relevant stakeholders to comply with provisions of the regulations.</t>
  </si>
  <si>
    <r>
      <rPr>
        <sz val="11"/>
        <rFont val="Calibri"/>
      </rPr>
      <t>https://members.wto.org/crnattachments/2026/TBT/PHL/26_01159_00_e.pdf</t>
    </r>
  </si>
  <si>
    <t>Veterinary Health Certificate for Import of Bovine Serum Into India</t>
  </si>
  <si>
    <t>The draft veterinary health certificate for regulating the import of Bovine serum into India was notified to WTO as document G/SPS/N/IND/333 dated 4 September 2025. Considering the comments of stakeholders and in order to facilitate the trade the content or scope of notified measures, “Veterinary Health Certificate for Import of Bovine Serum into India” was adopted and published on 6 February 2026. The notified measure enters into force on 4 March 2026, six months from the date of circulation of the regular notification. Text of final measure available from: https://www.dahd.gov.in/sites/default/files/2026-02/Final-VHCforImportofBovineSerum_1.pdf.</t>
  </si>
  <si>
    <t>Bovine serum and products thereof</t>
  </si>
  <si>
    <t>Food safety (SPS); Animal health (SPS); Protect humans from animal/plant pest or disease (SPS)</t>
  </si>
  <si>
    <t>Food safety; Animal health; Animal diseases; Adoption/publication/entry into force of reg.; Human health; Modification of content/scope of regulation; Animal diseases; Food safety; Animal health; Human health</t>
  </si>
  <si>
    <r>
      <rPr>
        <sz val="11"/>
        <rFont val="Calibri"/>
      </rPr>
      <t>https://members.wto.org/crnattachments/2026/SPS/IND/26_01174_00_e.pdf</t>
    </r>
  </si>
  <si>
    <t>Costa Rican Technical Regulation (RTCR) No. 475:2015: Electrical products. Electrical conductors and extension cords. Specifications</t>
  </si>
  <si>
    <t>Approval is hereby issued for the equivalence between technical regulation Mexican Official Standard NOM-063-SCFI-2001: Electrical Products - Conductors – Safety requirements (Section III. Conductors with polyvinyl chloride thermoplastic insulation, for installations not exceeding 600 V), and Costa Rican Technical Regulation (RTCR) No. 475:2015: Electrical products. Electrical conductors and extension cords. Specifications.__________1 This information can be provided by including a website address, a PDF attachment, or other information on where the text of the final/modified measure and/or interpretative guidance can be obtained.</t>
  </si>
  <si>
    <t>29.060.01</t>
  </si>
  <si>
    <t>29.060.01 - Electrical wires and cables in general; 29.060.01 - Electrical wires and cables in general</t>
  </si>
  <si>
    <t>Protección de la vida humana</t>
  </si>
  <si>
    <r>
      <rPr>
        <sz val="11"/>
        <rFont val="Calibri"/>
      </rPr>
      <t>https://members.wto.org/crnattachments/2026/TBT/CRI/final_measure/26_01154_00_s.pdf</t>
    </r>
  </si>
  <si>
    <t>Draft Resolution of the Directorate-General of Livestock Services of the Ministry of Livestock, Agriculture and Fisheries approving the following procedures: "Accreditation procedure for quarantine facilities and units authorized to accommodate imported equine animals, Version 1" and "Procedure for importing equine animals, Version 1"Resolution No. 56/2026, of 19 February 2026, of the Directorate-General of Livestock Services, approving the "Accreditation procedure for quarantine facilities and units authorized to accommodate imported equine animals, Version 1" and the "Procedure for importing equine animals, Version 1".https://www.gub.uy/ministerio-ganaderia-agricultura-pesca/institucional/normativa/resolucion-n-56026-dgsg-aprobacion-del-procedimiento-para-habilitacionhttps://members.wto.org/crnattachments/2026/SPS/URY/26_01160_00_s.pdfhttps://members.wto.org/crnattachments/2026/SPS/URY/26_01160_01_s.pdfhttps://members.wto.org/crnattachments/2026/SPS/URY/26_01160_02_s.pdf</t>
  </si>
  <si>
    <t>Equine animals</t>
  </si>
  <si>
    <t>0101 - Live horses, asses, mules and hinnies; 0101 - Live horses, asses, mules and hinnies</t>
  </si>
  <si>
    <t>Adoption/publication/entry into force of reg.; Animal diseases; Animal health; Animal health; Animal diseases</t>
  </si>
  <si>
    <r>
      <rPr>
        <sz val="11"/>
        <rFont val="Calibri"/>
      </rPr>
      <t>https://members.wto.org/crnattachments/2026/SPS/URY/26_01160_00_s.pdf
https://members.wto.org/crnattachments/2026/SPS/URY/26_01160_01_s.pdf
https://members.wto.org/crnattachments/2026/SPS/URY/26_01160_02_s.pdf
https://www.gub.uy/ministerio-ganaderia-agricultura-pesca/institucional/normativa/resolucion-n-56026-dgsg-aprobacion-del-procedimiento-para-habilitacion</t>
    </r>
  </si>
  <si>
    <t>Resolución No.00002156 del 25 de febrero de 2026 del Instituto Colombiano Agropecuario "Por medio de la cual se establecen los requisitos fitosanitarios para la importación a Colombia de plantas de Kalanchoe, con excepción de las especies K. pinnata y K. daigremontana, de origen y procedencia Países Bajos, para uso comercial y/o siembra" (Colombian Agricultural Institute Resolution No. 00002156 of 25 February 2026 establishing phytosanitary requirements for the importation into Colombia of Kalanchoe plants, excluding the species K. pinnata and K. daigremontana, originating in and coming from the Netherlands, for commercial use and/or planting)The Republic of Colombia hereby notifies the issuance of Colombian Agricultural Institute Resolution No. 00002156 of 25 February 2026 establishing phytosanitary requirements for the importation into Colombia of Kalanchoe plants, excluding the species K. pinnata and K. daigremontana, originating in and coming from the Netherlands, for commercial use and/or planting. The purpose of this Resolution is to establish the phytosanitary requirements for the importation into Colombia of Kalanchoe plants, excluding the species K. pinnata and K. daigremontana, originating in and coming from the Netherlands, for commercial use and/or planting.The Resolution was published in Official Journal No. 53.410 of 25 February 2026 and entered into force the same day.https://www.ica.gov.co/getattachment/a8dcf6ce-5c61-4991-b720-d7ce4e0a124b/2025R0002156.aspxhttps://members.wto.org/crnattachments/2026/SPS/COL/26_01169_00_s.pdf</t>
  </si>
  <si>
    <t>Flaming katy (Kalanchoe) plants</t>
  </si>
  <si>
    <t>Adoption/publication/entry into force of reg.; Plant health; Territory protection; Pest- or Disease- free Regions / Regionalization; Plant health; Territory protection; Pest- or Disease- free Regions / Regionalization</t>
  </si>
  <si>
    <r>
      <rPr>
        <sz val="11"/>
        <rFont val="Calibri"/>
      </rPr>
      <t>https://members.wto.org/crnattachments/2026/SPS/COL/26_01169_00_s.pdf
https://www.ica.gov.co/getattachment/a8dcf6ce-5c61-4991-b720-d7ce4e0a124b/2025R0002156.aspx</t>
    </r>
  </si>
  <si>
    <t>Propuesta de Modificación del Decreto Supremo N°26, de 2000, del Ministerio de Transportes y Telecomunicaciones, que establece elementos de seguridad aplicables a vehículos motorizados (Draft amendment to Supreme Decree No. 26 of 2000 of the Ministry of Transport and Telecommunications, establishing safety features applicable to motor vehicles)</t>
  </si>
  <si>
    <t>__________</t>
  </si>
  <si>
    <t>Elementos de seguridad obligatorios y optativos para vehículos motorizados livianos y medianos</t>
  </si>
  <si>
    <t>43.040.80 - Crash protection and restraint systems; 43.040.80 - Crash protection and restraint systems</t>
  </si>
  <si>
    <r>
      <rPr>
        <sz val="11"/>
        <rFont val="Calibri"/>
      </rPr>
      <t xml:space="preserve">https://members.wto.org/crnattachments/2026/TBT/CHL/modification/26_01165_00_s.pdf
https://members.wto.org/crnattachments/2026/TBT/CHL/modification/26_01165_01_s.pdf
https://members.wto.org/crnattachments/2026/TBT/CHL/modification/26_01165_02_s.pdf
https://www.subtrans.gob.cl/participacion-ciudadana/consultas-ciudadanas/consulta-modificacionds26/
</t>
    </r>
  </si>
  <si>
    <t>Resolución de la Dirección General de Servicios Ganaderos del Ministerio de Ganadería, Agricultura y Pesca N° 059/2026, del 25 de febrero de 2026 - Medidas sanitarias aplicadas a la República Argentina en todo su territorio, por brote de influenza aviar de alta patogenicidad (Resolution of the Directorate-General of Livestock Services of the Ministry of Livestock, Agriculture and Fisheries No. 059/2026 of 25 February 2026 – Sanitary measures applied to the entire territory of the Argentine Republic, following an outbreak of highly pathogenic avian influenza)</t>
  </si>
  <si>
    <t>The notified Resolution establishes the temporary suspension of imports from the Argentine Republic of live birds, including day-old chicks, hatching eggs, eggs for human consumption, avian genetic material, fresh poultry meat, meat products of avian origin, egg products and non-treated feathers and down. Moreover, the measure provides as follows:• The suspension will remain in force until such time that an updated sanitary risk assessment has been carried out by the Directorate-General of Livestock Services, in accordance with established international protocols.• The suspension does not apply to safe commodities, or to meat products of avian origin and egg products that have undergone heat treatment ensuring the inactivation of the virus, as provided for in Chapter 10.4, "Infection with high pathogenicity avian influenza viruses", of the WOAH Terrestrial Animal Health Code.G/SPS/N/URY/106- 2 - • The suspension does not apply to fresh poultry meat with production dates before 22 January of the current year, provided that such meat has remained segregated from other batches that do not have the same sanitary status.• Imports of poultry genetics from compartments authorized by SENASA and approved by the DGSG will be permitted, provided that the additional measures required are met, in order to mitigate the risk of introducing the virus into Uruguayan territory.Further details can be found in the document attached to this notification.</t>
  </si>
  <si>
    <t>Live birds, including day-old chicks, hatching eggs, eggs for human consumption, avian genetic material, fresh poultry meat, meat products of avian origin, egg products and non-treated feathers and down.</t>
  </si>
  <si>
    <t>01063 - - Birds:; 0407 - Birds' eggs, in shell, fresh, preserved or cooked; 0408 - Birds' eggs, not in shell, and egg yolks, fresh, dried, cooked by steaming or by boiling in water, moulded, frozen or otherwise preserved, whether or not containing added sugar or other sweetening matter; 0511 - Animal products n.e.s.; dead animals of all types, unfit for human consumption; 0207 - Meat and edible offal of fowls of the species Gallus domesticus, ducks, geese, turkeys and guinea fowls, fresh, chilled or frozen; 0505 - Skins and other parts of birds, with their feathers or down, feathers and parts of feathers, whether or not with trimmed edges, and down, not further worked than cleaned, disinfected or treated for preservation; powder and waste of feathers or parts of feathers</t>
  </si>
  <si>
    <t>Animal health; Avian Influenza; Animal diseases</t>
  </si>
  <si>
    <r>
      <rPr>
        <sz val="11"/>
        <rFont val="Calibri"/>
      </rPr>
      <t>https://members.wto.org/crnattachments/2026/SPS/URY/26_01185_00_s.pdf
https://members.wto.org/crnattachments/2026/SPS/URY/26_01185_01_s.pdf
https://members.wto.org/crnattachments/2026/SPS/URY/26_01185_02_s.pdf
https://www.gub.uy/ministerio-ganaderia-agricultura-pesca/institucional/normativa/resolucion-n-59026-dgsg-suspender-temporalmente-import-aves-vivas-pollitos</t>
    </r>
  </si>
  <si>
    <t>The draft Order of the Ministry of Economy, Environment and Agriculture of Ukraine "On Amendments to the List of food products of non-animal origin and feedstuffs of non-animal origin, the consignments of which are subject to enhanced state control when imported (sent) into the customs territory of Ukraine"</t>
  </si>
  <si>
    <t>The draft Order provides for amendments to the List of food products of non-animal origin and feedstuffs of non-animal origin, the consignments of which are subject to enhanced state control when imported (sent) into the customs territory of Ukraine, as approved by Order of the Ministry of Agrarian Policy and Food of Ukraine No. 158 of 26 March 2018 (as amended by Order of the Ministry of Economy, Environment and Agriculture of Ukraine No. 952 of 30 October 2025).The draft Order proposes to replace the existing List with a new version to update the countries of origin and the scope of products subject to this control.The draft Order has been developed based on Commission Implementing Regulation (EU) 2026/194 of 28 January 2026 amending Implementing Regulation (EU) 2019/1793 on the temporary increase of official controls and emergency measures governing the entry into the Union of certain goods from certain third countriesimplementing Regulations (EU) 2017/625 and (EC) No 178/2002 of the European Parliament and of the Council.</t>
  </si>
  <si>
    <t>Food and feed of non-animal origin</t>
  </si>
  <si>
    <t>Azerbaijan; Bangladesh; Burkina Faso; Côte d'Ivoire; China; Colombia; Dominican Republic; Egypt; Ethiopia; Georgia; Ghana; Israel; India; Kenya; Madagascar; Malaysia; Mexico; Pakistan; Rwanda; Sri Lanka; Syrian Arab Republic; Thailand; Türkiye; Uganda; United States of America; Viet Nam</t>
  </si>
  <si>
    <t>The Order will enter into force on the date of its official publication.</t>
  </si>
  <si>
    <r>
      <rPr>
        <sz val="11"/>
        <rFont val="Calibri"/>
      </rPr>
      <t>https://members.wto.org/crnattachments/2026/SPS/UKR/26_01163_00_x.pdf
https://members.wto.org/crnattachments/2026/SPS/UKR/26_01163_01_x.pdf
https://me.gov.ua/Documents/Detail/9b526e40-7a0e-4dae-8c85-fb040f9cf475?lang=uk-UA&amp;title=ProktNakazuMinisterstvaEkonomiki-DovkilliaTaSilskogoGospodarstvaUkrainiproVnesenniaZminDoPerelikuKharchovikhProduktivNetvarinnogoPokhodzhenniaTaKormivNetvarinnogoPokhodzhennia-VantazhiZYakimiPriVvezenni-peresilanni-NaMitnuTeritoriiuUkrainiPidliagaiutPosilenomuDerzhavnomuKontroliu</t>
    </r>
  </si>
  <si>
    <t>Draft Veterinary Health Certificate for Import of Pork and Pork Products into India (Applicable for all Categories of Processed and Un-Processed Pork and Pork Products)</t>
  </si>
  <si>
    <t>The measures are intended to ensure appropriate product standards, processing, sanitary measures relating to health status of source animals in line with extant World Organisation for Animal Health recommendations on animal health; to ensure the food safety and to safeguard the country’s biosecurity, in a manner consistent with the SPS Agreement.</t>
  </si>
  <si>
    <t>Pork Meat and Pork Meat Products thereof</t>
  </si>
  <si>
    <t>Animal diseases; Animal health; Food safety; Human health</t>
  </si>
  <si>
    <r>
      <rPr>
        <sz val="11"/>
        <rFont val="Calibri"/>
      </rPr>
      <t>https://members.wto.org/crnattachments/2026/SPS/IND/26_01171_00_e.pdf</t>
    </r>
  </si>
  <si>
    <t>Article 15.2 (TBT)</t>
  </si>
  <si>
    <t>Mongolia</t>
  </si>
  <si>
    <t>Technical regulation on elevator safety </t>
  </si>
  <si>
    <t>Scope1.1. The Technical Regulation on Elevator Safety aims to establish requirements for elevators and their safety devices in order to protect human life, health, and property, and to prevent users (consumers) from making errors regarding the purpose and safe use of elevators.1.2. This “Technical Regulation on Elevator Safety” (hereinafter referred to as the “Technical Regulation”) applies to all elevators and their safety devices (buffer, safety gear, overspeed governor, landing-door lock, hydraulic safety device) used within the territory of Mongolia.1.3. This Technical Regulation does not apply to elevators used for the following purposes:•          in mining and coal production mines;•          on ships or other floating structures;•          on exploration and offshore drilling platforms;•          on aircraft or air vehicles; and also does not apply to elevators with the following construction:•          elevators with rack-and-pinion or screw drives;•          elevators with special military purposes.</t>
  </si>
  <si>
    <t>(ICS code(s): 91.140.90)</t>
  </si>
  <si>
    <r>
      <rPr>
        <sz val="11"/>
        <rFont val="Calibri"/>
      </rPr>
      <t>https://mcis.gov.mn/mn/moreDtl/17659616652841</t>
    </r>
  </si>
  <si>
    <t>Law on 'Standardization, technical regulation and accreditation of conformity assessment” 2017</t>
  </si>
  <si>
    <t>Commission Implementing Regulation (EU) 2026/459 of 24 February 2026 amending Implementing Regulation (EU) 2019/1793 as regards the temporary increase of official controls and emergency measures governing the entry into the Union of arachidonic acid oil originating in China (Text with EEA relevance)</t>
  </si>
  <si>
    <t>Regulation (EU) 2019/1793 lays down rules concerning the temporary increase of official controls upon entry into the Union on certain food and feed of non-animal origin from certain third countries (in Annex I); special import conditions for certain food and feed from certain third countries due to the contamination risk by mycotoxins, including aflatoxins, pesticide residues, and microbiological contamination (in Annex II - increased official border controls and official certificate accompanied by the results of sampling and analysis in the third country). This Implementing Regulation amends Annex II to Implementing Regulation (EU) 2019/1793 by including arachidonic acid oil from China due to possible contamination by cereulide toxin (frequency set at 50%).</t>
  </si>
  <si>
    <t>Arachidonic acid oil originating from China</t>
  </si>
  <si>
    <t>190110 - Food preparations for infant use, put up for retail sale, of flour, groats, meal, starch or malt extract, not containing cocoa or containing &lt; 40% by weight of cocoa calculated on a totally defatted basis, n.e.s. and of milk, sour cream, whey, yogurt, kephir or similar goods of heading 0401 to 0404, not containing cocoa or containing &lt; 5% by weight of cocoa calculated on a totally defatted basis, n.e.s.</t>
  </si>
  <si>
    <t>Aflatoxins; Contaminants; Food safety; Human health; Mycotoxins</t>
  </si>
  <si>
    <r>
      <rPr>
        <sz val="11"/>
        <rFont val="Calibri"/>
      </rPr>
      <t>https://members.wto.org/crnattachments/2026/SPS/EEC/26_01151_00_f.pdf
https://members.wto.org/crnattachments/2026/SPS/EEC/26_01151_00_s.pdf
https://members.wto.org/crnattachments/2026/SPS/EEC/26_01151_00_e.pdf</t>
    </r>
  </si>
  <si>
    <t>Order Providing for Reliance on Decisions of, or Documents Produced by, Foreign Regulatory Authorities in Respect of Certain Drugs</t>
  </si>
  <si>
    <t>The purpose of this Notification is to inform stakeholders that the opportunity to comment on the Ministerial Reliance Order package (G/TBT/N/CAN/765) has been extended.The consultation period that opened on 20 December 2025 has now been extended from 28 February 2026 to 14 March 2026 at 11:59 p.m. Eastern Daylight Time (EDT).</t>
  </si>
  <si>
    <t>On July 9, 2025, the Government of Canada launched a Red Tape Review (RTR) across the federal regulatory system. The review is intended to eliminate outdated or unnecessary rules and streamline the delivery of regulatory decisions. The RTR builds upon work already completed in recent years to modernize regulations and seeks to further streamline rules and reduce burden on both regulated parties and the government. Under RTR, international alignment and reduction of trade barriers is a key commitment, including to help achieve more timely access to products on the Canadian market. Products that Health Canada regulates are sold in an increasingly global marketplace, however, different regulatory requirements between jurisdictions can create burden and act as trade barriers. They can also slow economic growth and innovation by limiting the products and services that can access the Canadian marketplace. There is also an increasing need to align approaches for product authorizations and one way to do so is by relying on decisions and documents made by comparable foreign regulators. Increasingly, there has been a drive internationally for greater collaboration and reliance amongst regulators - to provide for the sharing of scientific expertise and efficiencies, streamline processes for the pharmaceutical industry and help facilitate market authorization through harmonization or convergence of regulatory requirements, standards and practices amongst regulators. This use of collaboration and reliance allows a regulator to make strategic choices regarding where they focus their resources based on where they are most needed, taking into account the health and safety of Canadians, and the public interest. It benefits regulatory authorities, the pharmaceutical industry and patients by helping to decrease the time to approval and by contributing to earlier availability of new products to market.Within this environment, the proposed Order would seek to: further support the health and safety of Canadians by leveraging international partnerships using a risk based approach to generate greater efficiencies in Health Canada reviews of submissions for drugs in Canada without compromising established requirements under the FDR; reduce the delay in filing of submissions for drugs in Canada; continue to strengthen and expand the use of information and decisions from FRAs with the longer-term goal of increased collaboration in regulatory decision-making; andenable Health Canada to refocus resources as needed, as one way to support the health and safety of Canadians. As one component of the Government of Canada’s broader RTR commitment, the proposed Order would help encourage earlier availability of drugs to the Canadian market by facilitating more efficient reviews of drug submissions and enabling greater international collaboration, joint review and reliance with regulatory partners while maintaining the safety, effectiveness and quality of these products.</t>
  </si>
  <si>
    <t>Denmark</t>
  </si>
  <si>
    <t>Ordinance amending the Order on driver training and driving tests.</t>
  </si>
  <si>
    <t>The draft ordinance contains rules on the interior arrangement and equipment in vehicles to be used for driving lessons and practical driving tests._x000D_
Annex 1 contains rules on the interior arrangement and equipment in vehicles to be used for driving lessons and practical driving tests, including requirements for vehicles used in closed practice spaces or driving safety centres._x000D_
Annex 3 is not covered by the notification requirement under the Information Procedure Directive._x000D_
The draft ordinance implements the provisions regulated in Directive 2006/126/EC on driving licences in Annex II, B., 5. The vehicle and its equipment. There are additional requirements for vehicles and their equipment beyond those regulated in the directive. The purpose of the requirements for vehicles and their equipment is to improve road safety so that driving instructors and examiners are able to assess a learner driver's skills and competences. In addition, further requirements ensure that driving instructors and examiners are able to intervene in the event of a learner driver making a driving error or engaging in dangerous behaviour that threatens the safety of the passengers or other road users.</t>
  </si>
  <si>
    <t>The interior arrangement and equipment in vehicles to be used for driving lessons and practical driving tests.VEHICLES OTHER THAN RAILWAY OR TRAMWAY ROLLING STOCK, AND PARTS AND ACCESSORIES THEREOF (HS code(s): 87)</t>
  </si>
  <si>
    <t>87 - VEHICLES OTHER THAN RAILWAY OR TRAMWAY ROLLING STOCK, AND PARTS AND ACCESSORIES THEREOF</t>
  </si>
  <si>
    <t>43.020 - Road vehicles in general; 43.040 - Road vehicle systems</t>
  </si>
  <si>
    <t>Harmonization (TBT)</t>
  </si>
  <si>
    <r>
      <rPr>
        <sz val="11"/>
        <rFont val="Calibri"/>
      </rPr>
      <t>https://members.wto.org/crnattachments/2026/TBT/DNK/26_01147_00_x.pdf
https://members.wto.org/crnattachments/2026/TBT/DNK/26_01147_01_x.pdf
https://members.wto.org/crnattachments/2026/TBT/DNK/26_01147_02_x.pdf</t>
    </r>
  </si>
  <si>
    <t>Ordinance amending the Order on driver training and driving tests (Bekendtgørelse om ændring af bekendtgørelse for køreuddannelser og køreprøver)Danish Road Traffic Act (Færdselsloven)Order on driver training and driving tests (Bekendtgørelse for køreuddannelser og køreprøver)</t>
  </si>
  <si>
    <t>Unlicensed Use of the 6 GHz Band; Expanding Flexible Use in Mid-Band Spectrum Between 3.7 and 24 GHz</t>
  </si>
  <si>
    <t>In this document, the Federal Communications Commission (Commission or FCC) adopts rules allowing unlicensed geofenced variable power (GVP) devices to operate in the U-NII-5 and U-NII-7 portions of the 6 GHz band (5.925-7.125 GHz) at up to 11 dBm/MHz EIRP power spectral density and 24 dBm EIRP. GVP devices must use geofencing systems to prevent harmful interference to licensed microwave links and radio astronomy observatories. The geofencing systems will calculate exclusion zones where GVP devices cannot operate on specified frequencies. Each GVP access point must have a geolocation capability to determine its location and avoid operating on prohibited frequencies within the exclusion zones. Client devices must operate 6 dB below the access point's authorized power. These rules permit the GVP devices to operate at higher power than very lower power 6 GHz band unlicensed devices.This rule is effective 27 April 2026.91 Federal Register (FR) 9140, 25 February 2026; Title 47 Code of Federal Regulations (CFR) Parts 0 and 15_x000D_
https://www.govinfo.gov/content/pkg/FR-2026-02-25/html/2026-03744.htm_x000D_
https://www.govinfo.gov/content/pkg/FR-2026-02-25/pdf/2026-03744.pdf_x000D_
https://docs.fcc.gov/public/attachments/FCC-26-1A1.pdf_x000D_
This final rule is identified by ET Docket No. 18-295 and GN Docket No. 17-183FCC 26-1 and provide access to associated documents. The full text of the rule is available from the Commission's website at https://docs.fcc.gov/public/attachments/FCC-26-1A1.pdf. Documents are also accessible from the FCC's Electronic Document Management System (EDOCS) by searching the Docket Number. Filings (comments) are accessible at https://www.fcc.gov/ecfs/search/search-filings/results?q=(proceedings.name:(%2218-295%22))Comments on the proposed rule, notified as G/TBT/N/USA/1727/Rev.3, are due on or before 23 March 2026, and reply comments are due on or before 21 April 2026. WTO Members and their stakeholders are asked to submit comments to the USA TBT Enquiry Point by or before 4pmEastern Time on 21 April 2026. Comments received by the USA TBT Enquiry Point from WTO Members and their stakeholders will be shared with the FCC and will also be submitted to the Electronic Comment Filing System (ECFS) if received within the comment period.</t>
  </si>
  <si>
    <t>Unlicensed Use of the 6 GHz Band; Quality (ICS code(s): 03.120); Radiocommunications (ICS code(s): 33.060); Mobile services (ICS code(s): 33.070)</t>
  </si>
  <si>
    <t>03.120 - Quality; 33.060 - Radiocommunications; 33.070 - Mobile services; 03.120 - Quality; 33.060 - Radiocommunications; 33.070 - Mobile services</t>
  </si>
  <si>
    <t>Quality requirements (TBT); Harmonization (TBT); Cost saving and productivity enhancement (TBT)</t>
  </si>
  <si>
    <r>
      <rPr>
        <sz val="11"/>
        <rFont val="Calibri"/>
      </rPr>
      <t>https://members.wto.org/crnattachments/2026/TBT/USA/final_measure/26_01144_00_e.pdf
https://members.wto.org/crnattachments/2026/TBT/USA/final_measure/26_01144_01_e.pdf</t>
    </r>
  </si>
  <si>
    <t>Product Cancellation Order for Certain Pesticide Registrations (from 30 May 2025, Notice)</t>
  </si>
  <si>
    <t>This notice announces EPA's order for the cancellations, voluntarily requested by the registrant and accepted by the Agency, of the products listed in Table 1 of Unit II, pursuant to the Federal Insecticide, Fungicide, and Rodenticide Act (FIFRA). This cancellation order follows a 30 May 2025, Federal Register Notice of Receipt of Requests from the registrant listed in Table 2 of Unit II, to voluntarily cancel these product registrations. In the 30 May 2025, notice, EPA indicated that it would issue an order implementing the cancellations, unless the Agency received substantive comments within the 180-day comment period that would merit its further review of these requests, or unless the registrant withdrew their requests. The registrant did not withdraw their requests. Accordingly, EPA hereby issues in this notice a cancellation order granting the requested cancellations. Any distribution, sale, or use of the products subject to this cancellation order is permitted only in accordance with the terms of this order, including any existing stocks provisions.</t>
  </si>
  <si>
    <r>
      <rPr>
        <sz val="11"/>
        <rFont val="Calibri"/>
      </rPr>
      <t>https://www.govinfo.gov/content/pkg/FR-2026-02-20/html/2026-03378.htm</t>
    </r>
  </si>
  <si>
    <t>Draft Mexican Official Standard PROY-NOM-251-SE-2025: Construction industry - Iron and steel products - Specifications, test methods and commercial information (cancels PROY-NOM-251-SE-2021)</t>
  </si>
  <si>
    <t>Please be advised of the publication, as a definitive standard, of NOM-251-SE-2025: Construction industry - Steel products - Specifications, test methods and commercial information.The text is available for consultation at: https://www.dof.gob.mx/nota_detalle.php?codigo=5780066&amp;fecha=13/02/2026#gsc.tab=0__________1 This information can be provided by including a website address, a PDF attachment, or other information on where the text of the final/modified measure and/or interpretative guidance can be obtained.</t>
  </si>
  <si>
    <t>Aplica a los productos de hierro y acero que se fabriquen, importen y/o comercialicen en territorio nacional, destinados a una obra en construcción o edificación.</t>
  </si>
  <si>
    <t>77.140 - Iron and steel products; 77.140 - Iron and steel products</t>
  </si>
  <si>
    <t>Bahrain, Kingdom of</t>
  </si>
  <si>
    <t>Requirements of Storage Facilities for Dry and Canned Foodstuffs.</t>
  </si>
  <si>
    <t>This draft technical regulation specifies the general requirements of storage facilities for dry and canned foodstuffs.</t>
  </si>
  <si>
    <t>Storing. Warehousing (ICS code(s): 55.220)</t>
  </si>
  <si>
    <t>55.220 - Storing. Warehousing</t>
  </si>
  <si>
    <t> Food safety</t>
  </si>
  <si>
    <r>
      <rPr>
        <sz val="11"/>
        <rFont val="Calibri"/>
      </rPr>
      <t>https://members.wto.org/crnattachments/2026/TBT/SAU/26_01133_00_x.pdf</t>
    </r>
  </si>
  <si>
    <t>CXC 1 GENERAL PRINCIPLES OF FOOD HYGIENE</t>
  </si>
  <si>
    <t>Oman</t>
  </si>
  <si>
    <t>Draft Measure of a General Nature No: 0111-OOP-C035-26 laying down metrological and technical requirements for specified measuring instruments, including test methods for type approval, verification and checking of specified measuring instruments:_x000D_
‘instruments measuring water flow quantity’ – water meters</t>
  </si>
  <si>
    <t>MEASURE OF A GENERAL NATURE number: 0111-OOP-C035-26 laying down metrological and technical requirements for specified measuring instruments, including test methods for type approval, verification and checking of specified measuring instruments: ‘instruments measuring water flow quantity’ – water meters; was adopted, published on 19 December 2025 and came into force on 3 January 2026</t>
  </si>
  <si>
    <t xml:space="preserve">‘instruments measuring water flow quantity’ – water meters_x000D_
</t>
  </si>
  <si>
    <t>902820 - Liquid meters, incl. calibrating meters therefor; 902820 - Liquid meters, incl. calibrating meters therefor</t>
  </si>
  <si>
    <t>17 - METROLOGY AND MEASUREMENT. PHYSICAL PHENOMENA; 17.120 - Measurement of fluid flow; 17.120 - Measurement of fluid flow; 17 - Metrology and measurement. Physical phenomena</t>
  </si>
  <si>
    <r>
      <rPr>
        <sz val="11"/>
        <rFont val="Calibri"/>
      </rPr>
      <t>https://members.wto.org/crnattachments/2026/TBT/CZE/final_measure/26_01140_00_e.pdf
https://members.wto.org/crnattachments/2026/TBT/CZE/final_measure/26_01140_00_x.pdf
https://technical-regulation-information-system.ec.europa.eu/en/notification/27260
https://technical-regulation-information-system.ec.europa.eu/cs/notification/27260</t>
    </r>
  </si>
  <si>
    <t>United Kingdom</t>
  </si>
  <si>
    <t>The Windsor Framework (Retail Movement Scheme: Plant Health) (Amendment etc.) Regulations 2026</t>
  </si>
  <si>
    <t>New import controls are being introduced against the pest Bactrocera latifrons for fruits of Solanum lycopersicum (i.e. tomatoes) and fruits of Capsicum L. (i.e. peppers) from Chinese Taipei and Israel, and against the pest Ralstonia pseudosolanacearum for rhizomes of Zingiber officinale Roscoe (i.e. ginger) from all countries other than EU member States, Liechtenstein and Switzerland.These regulations implement a requirement under the Windsor Framework, in respect of the movement of certain rest of the world retail goods from Great Britain (GB) to Northern Ireland (NI).The legislation provides for a 6-month implementation period once the measures are published.</t>
  </si>
  <si>
    <t>Rhizomes of Zingiber officinale Roscoe (i.e. ginger), other than plants for planting, from any country other than EU member States, Liechtenstein and Switzerland.Fruits of Solanum lycopersicum (i.e. tomatoes) from Chinese Taipei and Israel.Fruits of Capsicum L. (i.e. peppers) from Chinese Taipei and Israel.</t>
  </si>
  <si>
    <t>Food safety (SPS); Plant protection (SPS); Protect territory from other damage from pests (SPS)</t>
  </si>
  <si>
    <t>Any trader that is moving the goods from the locations specified under point 3 above.</t>
  </si>
  <si>
    <r>
      <rPr>
        <sz val="11"/>
        <rFont val="Calibri"/>
      </rPr>
      <t>https://members.wto.org/crnattachments/2026/SPS/GBR/26_01142_00_e.pdf</t>
    </r>
  </si>
  <si>
    <t>National Emission Standards for Hazardous Air Pollutants: Coal- 
and Oil-Fired Electric Utility Steam Generating Units: Final Repeal</t>
  </si>
  <si>
    <t>The U.S. Environmental Protection Agency (EPA) is finalizing the repeal of specific amendments to the National Emission Standards for Hazardous Air Pollutants (NESHAP) for Coal- and Oil-Fired Electric Utility Steam Generating Units (EGUs), commonly referred to as the Mercury and Air Toxics Standards (MATS), that were promulgated on 7 May 2024 (notified as G/TBT/N/USA/1837/Rev.1/Add.1). Specifically, the EPA is repealing the revised filterable particulate matter (fPM) emission standard, which serves as a surrogate for non-mercury hazardous air pollutant (HAP) metals for existing coal- fired EGUs; the revised fPM emission standard compliance demonstration requirements; and the revised mercury (Hg) emission standard for lignite-fired EGUs. The EPA is also making technical, non-substantive clarifications to electronic reporting requirements.The final rule is effective on 27 April 2026. The Director of the Federal Register (FR) approved incorporation by reference (IBR) of certain publications listed in the rule on 16 April 2012 and 30 May 2023.91 Federal Register (FR) 9088, 24 February 2026; Title 40 Code of Federal Regulations (CFR) Part 63_x000D_
https://www.govinfo.gov/content/pkg/FR-2026-02-24/html/2026-03638.htm_x000D_
https://www.govinfo.gov/content/pkg/FR-2026-02-24/pdf/2026-03638.pdfThis final rule and previous actions notified under the symbol G/TBT/N/USA/1837 are identified by Docket Number EPA-HQ-OAR-2018-0794. The Docket Folder is available from Regulations.gov at https://www.regulations.gov/docket/EPA-HQ-OAR-2018-0794/document and provides access to primary and supporting documents as well as comments received. Documents are also accessible from Regulations.gov by searching the Docket Number. </t>
  </si>
  <si>
    <t>Coal- and oil-fired electric utility steam generating units; Steam or other vapour generating boilers (excl. central heating hot water boilers capable also of producing low pressure steam); superheated water boilers; parts thereof (HS code(s): 8402); Quality (ICS code(s): 03.120); Air quality (ICS code(s): 13.040); Burners. Boilers (ICS code(s): 27.060)</t>
  </si>
  <si>
    <t>8402 - Steam or other vapour generating boilers (excl. central heating hot water boilers capable also of producing low pressure steam); super-heated water boilers; parts thereof; 8402 - Steam or other vapour generating boilers (excl. central heating hot water boilers capable also of producing low pressure steam); superheated water boilers; parts thereof; 8402 - Steam or other vapour generating boilers (excl. central heating hot water boilers capable also of producing low pressure steam); superheated water boilers; parts thereof</t>
  </si>
  <si>
    <t>03.120 - Quality; 13.040 - Air quality; 27.060 - Burners. Boilers; 03.120 - Quality; 13.040 - Air quality; 27.060 - Burners. Boilers</t>
  </si>
  <si>
    <t>Quality requirements (TBT); Cost saving and productivity enhancement (TBT)</t>
  </si>
  <si>
    <r>
      <rPr>
        <sz val="11"/>
        <rFont val="Calibri"/>
      </rPr>
      <t>https://members.wto.org/crnattachments/2026/TBT/USA/final_measure/26_01123_00_e.pdf</t>
    </r>
  </si>
  <si>
    <t>Proposal for Amendments to the Legal Inspection Requirements for Cement</t>
  </si>
  <si>
    <t>With a view to enhancing the quality of cements, the Bureau of Standards, Metrology and Inspection (BSMI) proposes to adopt the updated version of CNS 61, Portland cements, published in 2025, as the inspection standard. The main change of CNS 61 is that the maximum limit for chloride ion content in type I/IA Portland cement is revised from 240 ppm to 350 ppm, and the requirement of chloride ion content is modified from an optional chemical composition provision to a mandatory chemical composition standard requirement (i.e., reclassified as a CNS 61 quality item).The conformity assessment procedures remain the same, i.e., Monitoring Inspection (MI) or Monitoring Inspection of Products from Premises with Registered Management System (MS-Based Monitoring Inspection).</t>
  </si>
  <si>
    <t>Portland cement (excl. white, whether or not artificially coloured) (HS code(s): 252329); Cement, whether or not coloured (excl. portland cement and aluminous cement) (HS code(s): 252390)</t>
  </si>
  <si>
    <t>252329 - Portland cement (excl. white, whether or not artificially coloured); 252390 - Cement, whether or not coloured (excl. portland cement and aluminous cement)</t>
  </si>
  <si>
    <r>
      <rPr>
        <sz val="11"/>
        <rFont val="Calibri"/>
      </rPr>
      <t>https://members.wto.org/crnattachments/2026/TBT/TPKM/26_01127_00_x.pdf
https://members.wto.org/crnattachments/2026/TBT/TPKM/26_01127_00_e.pdf</t>
    </r>
  </si>
  <si>
    <t>Government Gazette, Vol. 032, No. 033, dated 24 February 2026(https://gazette.nat.gov.tw/egFront/e_detail.do?metaid=163778)The Commodity Inspection Act</t>
  </si>
  <si>
    <t>United Arab Emirates</t>
  </si>
  <si>
    <t>DKS 3046: 2025 Food contact surfaces ― General requirements</t>
  </si>
  <si>
    <t>This Draft Kenya Standard specifies the general requirements on sampling, analysis and microbiological limits for food contact surfaces and environmental monitoring during production and handling of food.</t>
  </si>
  <si>
    <t>Microbiology in general (ICS code(s): 07.100.01)</t>
  </si>
  <si>
    <t>67.250 - Materials and articles in contact with foodstuffs; 07.100.01 - Microbiology in general</t>
  </si>
  <si>
    <r>
      <rPr>
        <sz val="11"/>
        <rFont val="Calibri"/>
      </rPr>
      <t>https://members.wto.org/crnattachments/2026/TBT/KEN/26_01130_00_e.pdf</t>
    </r>
  </si>
  <si>
    <t>ISO 4832, Microbiology of food and animal feeding stuffs — Horizontal method for the enumeration of coliforms — Colony-count techniqueISO 4833-1 Microbiology of the food chain — Horizontal method for the enumeration of microorganisms — Part 1: Colony count at 30 degrees C by the pour plate techniqueISO 4833-2 Microbiology of the food chain — Horizontal method for the enumeration of microorganisms — Part 2: Colony count at 30 degrees C by the surface plating techniqueISO 6579 -1 Microbiology of the food chain — Horizontal method for the detection, enumeration and serotyping of Salmonella ― Part 1: Detection of Salmonella spp.ISO 6888-2: Microbiology of the food chain — Horizontal method for the enumeration of coagulase-positive staphylococci (Staphylococcus aureus and other species) Part 2: Method using rabbit plasma fibrinogen agar mediumISO 11290-1: Microbiology of the food chain — Horizontal method for the detection and enumeration of Listeria monocytogenes and of Listeria spp. — Part 1: Detection methodISO 16649-2: Microbiology of food and animal feeding stuffs — Horizontal method for the enumeration of beta-glucuronidase-positive Escherichia coli — Part 2: Colony-count technique at 44 degrees C using 5-bromo-4-chloro-3-indolyl beta-D-glucuronideISO/TS 17728   Microbiology of the food chain — Sampling techniques for microbiological analysis of food and feed samplesISO 21527-2: Microbiology of food and animal feeding stuffs — Horizontal method for the enumeration of yeasts and moulds — Part 2: Colony count technique in products with water activity less than or equal to 0,95 ISO 21528-2 Microbiology of the food chain — Horizontal method for the detection and enumeration of Enterobacteriaceae — Part 2: Colony-count techniqueISO /TS 17728, Microbiology of the food chain — Sampling techniques for microbiological analysis of food and feed samples. ISO 11133 Microbiology of food, animal feed and water — Preparation, production, storage and performance testing of culture media</t>
  </si>
  <si>
    <t>Draft Order of the Ministry of Health of Ukraine "On Approval of the Requirements Restricting the Use of Certain Epoxy Derivatives in Materials and Articles Intended to Come into Contact with Food"</t>
  </si>
  <si>
    <t>Ukraine notifies the adoption of Order of the Ministry of Health of Ukraine No. 55 "On Approval of the Requirements Restricting the Use of Certain Epoxy Derivatives in Materials and Articles Intended to Come into Contact with Food" of 15 January 2026. _x000D_
The Order was registered in the Ministry of Justice on 29 January 2026 and published on 17 February 2026._x000D_
The Order will enter into force on 17 May 2026.</t>
  </si>
  <si>
    <t>Materials and articles intended to come into contact with food</t>
  </si>
  <si>
    <t>67.250 - Materials and articles in contact with foodstuffs; 67.250 - Materials and articles in contact with foodstuffs; 71.100 - Products of the chemical industry; 71.100 - Products of the chemical industry</t>
  </si>
  <si>
    <r>
      <rPr>
        <sz val="11"/>
        <rFont val="Calibri"/>
      </rPr>
      <t>https://members.wto.org/crnattachments/2026/TBT/UKR/final_measure/26_01114_00_x.pdf
https://members.wto.org/crnattachments/2026/TBT/UKR/final_measure/26_01114_01_x.pdf</t>
    </r>
  </si>
  <si>
    <t>SB 1013 Addition of New Beverage Containers Permanent Regulations</t>
  </si>
  <si>
    <t>The Department of Resources Recycling and Recovery (CalRecycle) has begun a 15-day written comment period for the proposed revisions to the SB 1013 Addition of New Beverage Containers permanent regulations. This 15-day written comment period follows an initial 45-day public comment period that began on 15 August 2025, and ended on 30 September 2025.  On 30 September 2025, CalRecycle held a public hearing to receive public comments.  _x000D_
CalRecycle will only consider written comments sent to CalRecycle and received during the 15-day written comment period which begins on 24 February 2026, and ends on 11 March 2026. Written comments received by CalRecycle after the close of the 15-day public comment period will not be responded to in the rulemaking file. Further, CalRecycle is only required to respond to comments that are related to the most recent changes to the proposed regulations. SB 1013 Addition of New Beverage Containers Permanent Regulations: https://calrecycle.ca.gov/Laws/Rulemaking/newcontainers/Notice of 15-Day Changes to Proposed Rulemaking: https://www2.calrecycle.ca.gov/Docs/Web/138160Notice of Proposed Regulation Text: https://www2.calrecycle.ca.gov/Docs/Web/138163WTO Members and their stakeholders are asked to submit comments to the USA TBT Enquiry Point. Comments received by the USA TBT Enquiry Point from WTO Members and their stakeholders by 4pmEastern Time on 11 March 2026 will be shared with CalRecycle if received within the comment period.</t>
  </si>
  <si>
    <t>Beverage containers; Environmental protection (ICS code(s): 13.020); Recycling (ICS code(s): 13.030.50); Bottles. Pots. Jars (ICS code(s): 55.100); Cans. Tins. Tubes (ICS code(s): 55.120); Plastics (ICS code(s): 83.080)</t>
  </si>
  <si>
    <t>13.020 - Environmental protection; 13.030.50 - Recycling; 55.100 - Bottles. Pots. Jars; 55.120 - Cans. Tins. Tubes; 83.080 - Plastics; 13.020 - Environmental protection; 13.030.50 - Recycling; 55.100 - Bottles. Pots. Jars; 55.120 - Cans. Tins. Tubes; 83.080 - Plastics</t>
  </si>
  <si>
    <t>Consumer information, labelling (TBT); Protection of the environment (TBT)</t>
  </si>
  <si>
    <r>
      <rPr>
        <sz val="11"/>
        <rFont val="Calibri"/>
      </rPr>
      <t>https://members.wto.org/crnattachments/2026/TBT/USA/modification/26_01124_00_e.pdf
https://members.wto.org/crnattachments/2026/TBT/USA/modification/26_01124_01_e.pdf</t>
    </r>
  </si>
  <si>
    <t>Pydiflumetofen; Pesticide Tolerances</t>
  </si>
  <si>
    <t>This regulation establishes tolerances for residues of 
pydiflumetofen in or on coffee, green bean and dragon fruit. Syngenta 
Crop Protection, LLC, requested these tolerances under the Federal 
Food, Drug, and Cosmetic Act (FFDCA).</t>
  </si>
  <si>
    <r>
      <rPr>
        <sz val="11"/>
        <rFont val="Calibri"/>
      </rPr>
      <t>https://www.govinfo.gov/content/pkg/FR-2026-02-20/html/2026-03421.htm</t>
    </r>
  </si>
  <si>
    <t xml:space="preserve">In making its tolerance decisions, EPA seeks to harmonize U.S. tolerances with international standards whenever possible, consistent with U.S. food safety standards and agricultural practices. EPA considers the international maximum residue limits (MRL) established by the Codex Alimentarius Commission (Codex), as required by FFDCA section 408(b)(4). 
The Codex is a joint United Nations Food and Agriculture Organization/World Health Organization food standards program, and it is recognized as an international food safety standards-setting organization in trade agreements to which the United States is a party.
EPA may establish a tolerance that is different from a Codex MRL; however, FFDCA section 408(b)(4) requires that EPA explain the reasons for departing from the Codex level.
The Codex has not established a MRL for uses of pydiflumetofen on coffee, green bean or dragon fruit.
</t>
  </si>
  <si>
    <t>Qatar</t>
  </si>
  <si>
    <t>Public Notice on Pre-Export Verification of Conformity (PVoC) Services for General Goods</t>
  </si>
  <si>
    <t>This measure establishes Pre-Export Verification of Conformity (PVoC) requirements for general goods destined for importation into Kenya.Under the authority of the Kenya Bureau of Standards (KEBS), pursuant to the Standards Act (Cap 496, Laws of Kenya) and its attendant Regulations, nine inspection companies have been appointed to undertake verification of conformity to Kenya Standards or approved specifications in the country of origin/ supply for goods destined Kenya. The appointed inspection companies are:SGSIntertekCHICCICTUVBVASTCCOTECNAQISJ</t>
  </si>
  <si>
    <t>Regulated product as the PVOC manual posted at the KEBS website www.kebs.org</t>
  </si>
  <si>
    <t>03.120.20 - Product and company certification. Conformity assessment</t>
  </si>
  <si>
    <t>National security requirements (TBT); Prevention of deceptive practices and consumer protection (TBT); Protection of human health or safety (TBT); Quality requirements (TBT); Reducing trade barriers and facilitating trade (TBT)</t>
  </si>
  <si>
    <t>Enhance efficiency of clearance of imported goods at the ports of entry</t>
  </si>
  <si>
    <r>
      <rPr>
        <sz val="11"/>
        <rFont val="Calibri"/>
      </rPr>
      <t xml:space="preserve">https://members.wto.org/crnattachments/2026/TBT/KEN/26_01129_00_e.pdf
</t>
    </r>
  </si>
  <si>
    <t>Standards Act, Cap 496 Laws of KenyaLegal Notice No. 78 (2020).</t>
  </si>
  <si>
    <t>Maximum Line Speed Under the New Swine Slaughter Inspection System (NSIS)</t>
  </si>
  <si>
    <t>FSIS is proposing to amend the Federal meat inspection regulations to allow establishments operating under the NSIS to determine their own line speeds based on their ability to maintain process control. FSIS is also proposing to clarify that the FSIS inspector may reduce the rate of establishment operations at any point in the slaughter process when, in their judgement, there is a loss of process control, or a carcass-by-carcass inspection cannot be adequately performed within the time available due to the manner in which the swine are presented to the online carcass inspector or the health condition of the particular herd. Finally, FSIS is proposing to amend the regulations to remove the requirement that NSIS establishments submit an annual attestation to FSIS stating that they maintain a program to monitor and document work-related conditions of establishment workers. The proposed amendments would allow NSIS establishments to slaughter swine more efficiently while continuing to ensure food safety and effective online carcass inspection.</t>
  </si>
  <si>
    <t>Meat</t>
  </si>
  <si>
    <t>0103 - Live swine; 0203 - Meat of swine, fresh, chilled or frozen; 0203 - Meat of swine, fresh, chilled or frozen; 0103 - Live swine</t>
  </si>
  <si>
    <t>Human health; Food safety; Modification of content/scope of regulation; Food safety; Human health</t>
  </si>
  <si>
    <r>
      <rPr>
        <sz val="11"/>
        <rFont val="Calibri"/>
      </rPr>
      <t>https://members.wto.org/crnattachments/2026/SPS/USA/26_01125_00_e.pdf
https://www.federalregister.gov/documents/2026/02/19/2026-03228/maximum-line-speed-under-the-new-swine-slaughter-inspection-system-nsis</t>
    </r>
  </si>
  <si>
    <t>“Propuesta de modificación del Reglamento Sanitario de los Alimentos (Titulo X: Aceites y Grasas) – Aceite de oliva”</t>
  </si>
  <si>
    <t>The notified draft amendment seeks to incorporate into the Food Health Regulations (D.S. 977/96) specific regulations for olive oil, which establish quality parameters and labelling criteria aligned with international standards, guaranteeing its authenticity and protecting consumer rights.</t>
  </si>
  <si>
    <t>Aceite de Oliva</t>
  </si>
  <si>
    <t>1509 - Olive oil and its fractions obtained from the fruit of the olive tree solely by mechanical or other physical means under conditions that do not lead to deterioration of the oil, whether or not refined, but not chemically modified</t>
  </si>
  <si>
    <r>
      <rPr>
        <sz val="11"/>
        <rFont val="Calibri"/>
      </rPr>
      <t>https://members.wto.org/crnattachments/2026/TBT/CHL/26_01113_00_s.pdf</t>
    </r>
  </si>
  <si>
    <t>- Reglamento Sanitario de Alimentos Decreto Supremo N°977 Ministerio de Salud- Resolución que complementa el Reglamento Sanitario de los Alimentos- Codex Alimentarius Standard for Olive Oils and Olive Pomace Oils https://www.fao.org/fao-who-codexalimentarius/sh-proxy/en/?lnk=1&amp;url=https%253A%252F%252Fworkspace.fao.org%252Fsites%252Fcodex%252FStandards%252FCXS%2B33-1981%252FCXS_033e.pdf</t>
  </si>
  <si>
    <t>Inpyrfluxam; Pesticide Tolerances</t>
  </si>
  <si>
    <t>This regulation establishes tolerances for residues of 
inpyrfluxam in or on multiple commodities which are identified and 
discussed later in this document. Valent U.S.A., LLC requested these 
tolerances under the Federal Food, Drug, and Cosmetic Act (FFDCA).</t>
  </si>
  <si>
    <r>
      <rPr>
        <sz val="11"/>
        <rFont val="Calibri"/>
      </rPr>
      <t>https://www.govinfo.gov/content/pkg/FR-2026-02-20/html/2026-03423.htm</t>
    </r>
  </si>
  <si>
    <t xml:space="preserve">In making its tolerance decisions, EPA seeks to harmonize U.S. tolerances with international standards whenever possible, consistent with U.S. food safety standards and agricultural practices. EPA considers the international maximum residue limits (MRL) established by the Codex Alimentarius Commission (Codex), as required by FFDCA section 408(b)(4). 
The Codex is a joint United Nations Food and Agriculture Organization/World Health Organization food standards program, and it is recognized as an international food safety standards-setting organization in trade agreements to which the United States is a party.
EPA may establish a tolerance that is different from a Codex MRL; however, FFDCA section 408(b)(4) requires that EPA explain the reasons for departing from the Codex level.
Codex has not established MRLs for inpyrfluxam in/on cottonseed, rapeseed, or wheat.
</t>
  </si>
  <si>
    <t>Pesticide Tolerances; Implementing Registration Review Decisions for Certain Pesticides; diphenylamine, diflubenzuron, flutolanil, isoxaflutole, famoxadone, aminopyralid, fenazaquin, and tembotrione.</t>
  </si>
  <si>
    <t>The Environmental Protection Agency (EPA or Agency) is finalizing several pesticide tolerance actions under the Federal Food, Drug, and Cosmetic Act (FFDCA) that the Agency previously determined were necessary or appropriate during the registration review conducted under the Federal Insecticide, Fungicide, and Rodenticide Act (FIFRA). During registration review, EPA reviews all aspects of a pesticide case, including existing tolerances, to ensure that the pesticide continues to meet the standard for registration under FIFRA. The pesticide tolerances and active ingredients addressed in this rulemaking are identified and discussed in detail in Unit II. of this document.</t>
  </si>
  <si>
    <t xml:space="preserve">Multiple Commodities_x000D_
</t>
  </si>
  <si>
    <r>
      <rPr>
        <sz val="11"/>
        <rFont val="Calibri"/>
      </rPr>
      <t>https://www.govinfo.gov/content/pkg/FR-2026-02-20/html/2026-03371.htm</t>
    </r>
  </si>
  <si>
    <t>EPA harmonizes with Codex where possible, but for some of the MRLs (tolerance) in question, the data provided to EPA support a different MRL than Codex. 
Please refer to the Federal Register Notice for full information regarding which MRLs are harmonized and which are not.</t>
  </si>
  <si>
    <t>Kuwait, the State of</t>
  </si>
  <si>
    <t>Pesticides used as baits for domestic rodents</t>
  </si>
  <si>
    <t>This draft technical regulation specifies the technical requirements and conditions that must be met by pesticides used as rodent baits.</t>
  </si>
  <si>
    <t>Pesticides and other agrochemicals (ICS code(s): 65.100)</t>
  </si>
  <si>
    <t>65.100 - Pesticides and other agrochemicals</t>
  </si>
  <si>
    <t>Protection of human health or safety (TBT); Other (TBT)</t>
  </si>
  <si>
    <t>Protect territory from other damage from pests. </t>
  </si>
  <si>
    <r>
      <rPr>
        <sz val="11"/>
        <rFont val="Calibri"/>
      </rPr>
      <t>https://members.wto.org/crnattachments/2026/TBT/SAU/26_01132_00_x.pdf</t>
    </r>
  </si>
  <si>
    <t>DKS 3030:2025 Processing of edible vegetable oil — Code of Practice</t>
  </si>
  <si>
    <t>This draft Kenya Code of Practice provides guidelines and best practices for processing of edible vegetable oil from various oil crops (oilseeds, nuts and fruits) to achieve food safety and quality, compliance to standards and regulatory requirements while ensuring industry sustainability and competitiveness. It applies to all players involved in the processing of edible vegetable oil.</t>
  </si>
  <si>
    <t>Animal and vegetable fats and oils (ICS code(s): 67.200.10)</t>
  </si>
  <si>
    <t>Prevention of deceptive practices and consumer protection (TBT); Protection of human health or safety (TBT); Quality requirements (TBT)</t>
  </si>
  <si>
    <r>
      <rPr>
        <sz val="11"/>
        <rFont val="Calibri"/>
      </rPr>
      <t>https://members.wto.org/crnattachments/2026/TBT/KEN/26_01131_00_e.pdf</t>
    </r>
  </si>
  <si>
    <t>KS CXC 36, Code of Practice for the Storage and Transport of Edible Fats and Oils in Bulk KS EAS 38, Labelling of pre-packaged foods – General requirements KS EAS 39, General principles of food hygiene — Code of practice KS 2958-1, Nuts and oil crops industry — Code of practice — Part 1: Tree nuts KS 2958-2 Nuts and oil crops industry — Code of practice — Part 2: Annual nuts and oilseed crop</t>
  </si>
  <si>
    <t>Yemen</t>
  </si>
  <si>
    <t>Maximum Line Speed Rates for Young Chicken and Turkey Establishments Operating Under the New Poultry Inspection System</t>
  </si>
  <si>
    <t>FSIS is proposing to amend the regulations to: allow young chicken establishments operating under the New Poultry Inspection System (NPIS) to operate at line speeds up to 175 birds per minute (bpm); increase the maximum line speed prescribed for turkey establishments operating under the NPIS from 55 bpm to 60 bpm; define “maximum line speed” as the time it takes for an inspector to effectively perform online carcass inspection procedures; clarify when FSIS may direct establishments to operate at a reduced line speed; and remove requirements for NPIS establishments to submit to FSIS annual attestations on worker safety programs. The proposed amendments would allow poultry establishments to slaughter birds more efficiently while continuing to ensure food safety and effective online carcass inspection. </t>
  </si>
  <si>
    <t>Poultry</t>
  </si>
  <si>
    <t>0207 - Meat and edible offal of fowls of the species Gallus domesticus, ducks, geese, turkeys and guinea fowls, fresh, chilled or frozen; 0207 - Meat and edible offal of fowls of the species Gallus domesticus, ducks, geese, turkeys and guinea fowls, fresh, chilled or frozen</t>
  </si>
  <si>
    <r>
      <rPr>
        <sz val="11"/>
        <rFont val="Calibri"/>
      </rPr>
      <t>https://members.wto.org/crnattachments/2026/SPS/USA/26_01126_00_e.pdf
https://www.federalregister.gov/documents/2026/02/19/2026-03227/maximum-line-speed-rates-for-young-chicken-and-turkey-establishments-operating-under-the-new-poultry</t>
    </r>
  </si>
  <si>
    <t>The DLD order on temporary suspension of importation or transit of live poultry and poultry carcasses from the United States of America to prevent the spread of High Pathogenicity Avian Influenza (Subtype H5N1)</t>
  </si>
  <si>
    <t>Thailand proposes an amendment to the Department of Livestock Development (DLD) Order on temporary suspension of importation or transit of live poultry and poultry carcasses from the United States of America to prevent the spread of High Pathogenicity Avian Influenza by adding paragraph (2) as follow:    (1) The WOAH has reported an outbreak of High Pathogenicity Avian Influenza (Subtype H5N1) in the area of the United States of America. Therefore, it is necessary for Thailand to prevent the entry of High Pathogenicity Avian Influenza (Subtype H5N1) into the country. By the virtue of the Animal Epidemics Act B.E. 2558 (2015), the importation or transit of live poultry and poultry carcasses from the United States of America has been temporarily suspended.    (2) Where live poultry and poultry carcasses from the United States of America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poultry or poultry carcasses into or through Thailand. </t>
  </si>
  <si>
    <t>Live poultry and poultry carcasses under Animal Epidemics Act B.E. 2558 (2015)</t>
  </si>
  <si>
    <t>0105 - Live poultry, "fowls of the species Gallus domesticus, ducks, geese, turkeys and guinea fowls"; 0207 - Meat and edible offal of fowls of the species Gallus domesticus, ducks, geese, turkeys and guinea fowls, fresh, chilled or frozen; 0105 - Live poultry, "fowls of the species Gallus domesticus, ducks, geese, turkeys and guinea fowls"; 0207 - Meat and edible offal of fowls of the species Gallus domesticus, ducks, geese, turkeys and guinea fowls, fresh, chilled or frozen</t>
  </si>
  <si>
    <t>Animal health; Animal diseases; Avian Influenza; Food safety; Human health; Modification of content/scope of regulation; Zoonoses; Animal diseases; Animal health; Avian Influenza</t>
  </si>
  <si>
    <t>Pesticide Tolerances; Implementing Registration Review Decisions 
for Certain Pesticides; Terbacil, et al.</t>
  </si>
  <si>
    <t>The Environmental Protection Agency (EPA or Agency) is 
finalizing several tolerance actions under the Federal Food, Drug, and 
Cosmetic Act (FFDCA) that the Agency previously determined were 
necessary or appropriate during the registration review conducted under 
the Federal Insecticide, Fungicide, and Rodenticide Act (FIFRA). During 
registration review, EPA reviews all aspects of a pesticide case, 
including existing tolerances, to ensure that the pesticide continues 
to meet the standard for registration under FIFRA. The pesticide 
tolerances and active ingredients addressed in this rulemaking are 
identified and discussed in detail in Unit III. of this document.</t>
  </si>
  <si>
    <r>
      <rPr>
        <sz val="11"/>
        <rFont val="Calibri"/>
      </rPr>
      <t>https://www.govinfo.gov/content/pkg/FR-2026-02-20/html/2026-03366.htm</t>
    </r>
  </si>
  <si>
    <t>Propuesta de requisitos fitosanitarios para la importación a México de plantas de fresa (Fragaria x ananassa) para plantar, originarias y procedentes de Egipto (Draft phytosanitary requirements for the importation into Mexico of strawberry (Fragaria x ananassa) plants for planting, originating in and coming from Egypt)</t>
  </si>
  <si>
    <t>In accordance with the Agreement on the Application of Sanitary and Phytosanitary Measures, it is hereby notified that SENASICA has determined the draft phytosanitary requirements for the importation into Mexico of strawberry (Fragaria x ananassa) plants for planting, originating in and coming from Egypt,.</t>
  </si>
  <si>
    <t>Strawberry (Fragaria x ananassa) plants for planting</t>
  </si>
  <si>
    <t>Egypt</t>
  </si>
  <si>
    <r>
      <rPr>
        <sz val="11"/>
        <rFont val="Calibri"/>
      </rPr>
      <t>https://members.wto.org/crnattachments/2026/SPS/MEX/26_01097_00_s.pdf
https://www.gob.mx/senasica/documentos/consulta-publica-de-requisitos-fitosanitarios</t>
    </r>
  </si>
  <si>
    <t>Technical Specification for the Verification and Inspection of Liquid Volumetric Meter</t>
  </si>
  <si>
    <t>The purpose of this notification is to provide the final texts of "Technical Specification for the Verification and Inspection of Liquid Volumetric Meters" and relevant dates of its implementation. The draft texts notified in "G/TBT/N/TPKM/580" were adopted without changes.</t>
  </si>
  <si>
    <t> Liquid Volumetric Meters</t>
  </si>
  <si>
    <t>17.060 - Measurement of volume, mass, density, viscosity; 17.060 - Measurement of volume, mass, density, viscosity; 17.120 - Measurement of fluid flow; 17.120 - Measurement of fluid flow</t>
  </si>
  <si>
    <t>Metrology; Metrology</t>
  </si>
  <si>
    <r>
      <rPr>
        <sz val="11"/>
        <rFont val="Calibri"/>
      </rPr>
      <t>https://members.wto.org/crnattachments/2026/TBT/TPKM/final_measure/26_01099_00_e.pdf
https://members.wto.org/crnattachments/2026/TBT/TPKM/final_measure/26_01099_00_x.pdf</t>
    </r>
  </si>
  <si>
    <t>Requirements of Storage Facilities for Dry and Canned Foodstuffs</t>
  </si>
  <si>
    <t xml:space="preserve">This draft technical regulation applies to specifies the general requirements of storage facilities for dry and canned foodstuffs._x000D_
</t>
  </si>
  <si>
    <t>ICS code: 55.220</t>
  </si>
  <si>
    <t>To be determined.​</t>
  </si>
  <si>
    <r>
      <rPr>
        <sz val="11"/>
        <rFont val="Calibri"/>
      </rPr>
      <t>https://members.wto.org/crnattachments/2026/SPS/SAU/26_01090_00_x.pdf</t>
    </r>
  </si>
  <si>
    <t>The DLD order on temporary suspension of importation or transit of live poultry and poultry carcasses from the United Kingdom to prevent the spread of High Pathogenicity Avian Influenza</t>
  </si>
  <si>
    <t>Thailand proposes an amendment to the Department of Livestock Development (DLD) Order on temporary suspension of importation or transit of live poultry and poultry carcasses from the United Kingdom to prevent the spread of High Pathogenicity Avian Influenza by adding paragraph (2) as follow:      (1) The WOAH has reported an outbreak of Highly Pathogenic Avian Influenza in the area of the United Kingdom.  Therefore, it is necessary for Thailand to prevent the entry of Highly Pathogenic Avian Influenza into the country.  By the virtue of the Animal Epidemics Act B.E.  2558 (2015), the importation or  transit  of live  poultry  and poultry  carcasses  from certain  areas  of  the United Kingdom has been temporarily suspended.       (2) Where live poultry and poultry carcasses from the United Kingdom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poultry or poultry carcasses into or through Thailand. </t>
  </si>
  <si>
    <t>Avian Influenza; Animal health; Animal diseases; Modification of content/scope of regulation; Animal health; Animal diseases; Avian Influenza; Pest- or Disease- free Regions / Regionalization</t>
  </si>
  <si>
    <r>
      <rPr>
        <sz val="11"/>
        <rFont val="Calibri"/>
      </rPr>
      <t>https://members.wto.org/crnattachments/2026/SPS/THA/26_01101_00_e.pdf</t>
    </r>
  </si>
  <si>
    <t>Bangladesh</t>
  </si>
  <si>
    <t>Bangladesh Standard Draft BDS 490: Specification for Hard Candy  (Draft for Fourth Revision)</t>
  </si>
  <si>
    <t>This draft standard specifies the essential requirements and methods of test for different types of hard candy i.e. hard-boiled candy and lozenges, that may be filled or unfilled and/or coated or uncoated. It also incorporates the product ingredient lists; guidelines for food additives and food preservatives used for the product; hygienic and legal requirements; and the packaging and marking provisions for the product. Various food safety parameters (e.g. heavy metals and microbiological limit) have been proposed. </t>
  </si>
  <si>
    <t>Hard Candy, ICS code: 67.060 </t>
  </si>
  <si>
    <t>170490 - Sugar confectionery not containing cocoa, incl. white chocolate (excl. chewing gum)</t>
  </si>
  <si>
    <t>67.060 - Cereals, pulses and derived products; 67.020 - Processes in the food industry; 67.040 - Food products in general; 67.050 - General methods of tests and analysis for food products; 67.080 - Fruits. Vegetables; 67.100 - Milk and milk products; 67.120 - Meat, meat products and other animal produce; 67.140 - Tea. Coffee. Cocoa; 67.160 - Beverages; 67.180 - Sugar. Sugar products. Starch; 67.190 - Chocolate; 67.200 - Edible oils and fats. Oilseeds; 67.220 - Spices and condiments. Food additives; 67.230 - Prepackaged and prepared foods; 67.240 - Sensory analysis; 67.250 - Materials and articles in contact with foodstuffs; 67.260 - Plants and equipment for the food industry</t>
  </si>
  <si>
    <t>The technical committee has reviewed this standard and decided to revise it to address stakeholder’s expectation, ensure market relevance and enhance consumer protection. This draft revised standard provides updated requirements relating to product quality and safety parameters for the product and provides harmonization with current national legislations and relevant international (Codex) standards.</t>
  </si>
  <si>
    <r>
      <rPr>
        <sz val="11"/>
        <rFont val="Calibri"/>
      </rPr>
      <t>https://members.wto.org/crnattachments/2026/SPS/BGD/26_01039_00_e.pdf</t>
    </r>
  </si>
  <si>
    <t>BDS 490:2014 Lozenges (Third revision)</t>
  </si>
  <si>
    <t>Draft Order of the Ministry of Health of Ukraine “On Approval of the Requirements Restricting the Use of Certain Epoxy Derivatives in Materials and Articles Intended to Come into Contact with Food”</t>
  </si>
  <si>
    <t>Ukraine notifies the adoption of Order of the Ministry of Health of Ukraine No. 55 "On Approval of the Requirements Restricting the Use of Certain Epoxy Derivatives in Materials and Articles Intended to Come into Contact with Food" of 15 January 2026.The Order was registered in the Ministry of Justice on 29 January 2026 and published on 17 February 2026.The Order will enter into force on 17 May 2026.</t>
  </si>
  <si>
    <t>Food safety; Adoption/publication/entry into force of reg.; Human health; Food safety</t>
  </si>
  <si>
    <r>
      <rPr>
        <sz val="11"/>
        <rFont val="Calibri"/>
      </rPr>
      <t>https://members.wto.org/crnattachments/2026/SPS/UKR/26_01115_00_x.pdf
https://members.wto.org/crnattachments/2026/SPS/UKR/26_01115_01_x.pdf
https://zakon.rada.gov.ua/laws/show/z0139-26#Text</t>
    </r>
  </si>
  <si>
    <t>Model certificates for entry into the Union of consignments of certain products of domestic solipeds origin intended for human consumption and certain categories of equine animals</t>
  </si>
  <si>
    <t>The proposal notified in G/SPS/N/EU/891 (31 October 2025) is now adopted by Commission Implementing Regulation (EU) 2026/318 of 12 February 2026 amending Annex III to Implementing Regulation (EU) 2020/2235 and Annex II to Implementing Regulation (EU) 2021/403 as regards model certificates for entry into the Union of consignments of certain products of domestic solipeds origin intended for human consumption and certain categories of equine animals (Text with EEA relevance).This Regulation shall enter into force on the twentieth day following that of its publication in the Official Journal of the European Union.</t>
  </si>
  <si>
    <t>Food-producing equine animals and certain products of equine animal origin intended for human consumption</t>
  </si>
  <si>
    <t>Food safety; Human health; Adoption/publication/entry into force of reg.; Human health; Food safety</t>
  </si>
  <si>
    <r>
      <rPr>
        <sz val="11"/>
        <rFont val="Calibri"/>
      </rPr>
      <t>https://members.wto.org/crnattachments/2026/SPS/EEC/26_01109_00_s.pdf
https://members.wto.org/crnattachments/2026/SPS/EEC/26_01109_00_e.pdf
https://members.wto.org/crnattachments/2026/SPS/EEC/26_01109_00_f.pdf</t>
    </r>
  </si>
  <si>
    <t>Notice of Administration Order of Saudi Food and Drug Authority Ref. No. 23792 dated 25 November 2025 entitled “Temporary ban on importation of poultry meat, eggs and their products originating from Dordogne in France”</t>
  </si>
  <si>
    <t xml:space="preserve">The Saudi Food and Drug Authority (SFDA) issued the Notice of Administration Order of Saudi Food and Drug Authority Ref. No. 23792 dated 25 November 2025 entitled “Temporary ban on importation of poultry meat, eggs and their products originating from Dordogne in France”. The Saudi Food and Drug Authority (SFDA) has subsequently issued the Notice Administrative Order No. 36498 dated 20 February 2026, lifting the temporary ban on the importation of poultry meat, eggs and their products originating from Dordogne  in France, based on the WOAH report dated 6 February 2026, indicating that Dordogne  in France are free of Highly Pathogenic Avian Influenza Virus (HPAI)._x000D_
</t>
  </si>
  <si>
    <t>Pest- or Disease- free Regions / Regionalization; Human health; Food safety; Avian Influenza; Animal health; Animal diseases; Pest- or Disease- free Regions / Regionalization; Animal diseases; Food safety; Animal health; Human health; Avian Influenza</t>
  </si>
  <si>
    <r>
      <rPr>
        <sz val="11"/>
        <rFont val="Calibri"/>
      </rPr>
      <t>https://members.wto.org/crnattachments/2026/SPS/SAU/26_01117_00_x.pdf</t>
    </r>
  </si>
  <si>
    <t>Amendment of Annex 2 of the Ordinance of 26 October 2011 on the Production and Marketing of Feedstuffs, Feed Additives and Dietary Feed (FADO)</t>
  </si>
  <si>
    <t>The amendment contains 43 authorization renewals of feed additives, 18 new authorizations and 69 withdrawals of authorizations. In accordance with the agreement between the Swiss Confederation and the European Community on trade of agricultural products, these modifications were intended to bring the authorizations for additives in animal feed in line with those of the European Union.</t>
  </si>
  <si>
    <t>Feed additives</t>
  </si>
  <si>
    <t>65.120 - Animal feeding stuffs; 65.120 - Animal feeding stuffs</t>
  </si>
  <si>
    <t>Human health; Food safety; Animal feed; Feed additives; Human health; Animal feed; Food safety; Feed additives</t>
  </si>
  <si>
    <r>
      <rPr>
        <sz val="11"/>
        <rFont val="Calibri"/>
      </rPr>
      <t>https://members.wto.org/crnattachments/2026/SPS/CHE/26_01093_00_f.pdf</t>
    </r>
  </si>
  <si>
    <t>The DLD order on temporary suspension of importation or transit of live poultry and poultry carcasses from France to prevent the spread of High Pathogenicity Avian Influenza</t>
  </si>
  <si>
    <t>Thailand proposes an amendment to the Department of Livestock Development (DLD) Order on temporary suspension of importation or transit of live poultry and poultry carcasses from France to prevent the spread of High Pathogenicity Avian Influenza by adding paragraph (2) as follow: (1) The WOAH has reported an outbreak of Highly Pathogenic Avian Influenza in the area of France.  Therefore, it is necessary for Thailand to prevent the entry of Highly Pathogenic Avian Influenza into the country.  By the virtue of the Animal Epidemics Act B.E.  2558 (2015), the importation or  transit  of live  poultry  and poultry  carcasses  from certain  areas  of  France has been temporarily suspended. (2) Where live poultry and poultry carcasses from France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poultry or poultry carcasses into or through Thailand. </t>
  </si>
  <si>
    <t>Animal health; Animal diseases; Avian Influenza; Pest- or Disease- free Regions / Regionalization; Modification of content/scope of regulation; Avian Influenza; Animal health; Animal diseases; Pest- or Disease- free Regions / Regionalization</t>
  </si>
  <si>
    <r>
      <rPr>
        <sz val="11"/>
        <rFont val="Calibri"/>
      </rPr>
      <t>https://members.wto.org/crnattachments/2026/SPS/THA/26_01102_00_e.pdf</t>
    </r>
  </si>
  <si>
    <t>Draft Commission Implementing Regulation amending and correcting Implementing Regulation (EU) 2020/1097 as regards the terms of the authorisation of lutein-rich and lutein/zeaxanthin extracts from Tagetes erecta as feed additives for poultry (except turkeys) for fattening and laying and for minor poultry species for fattening and laying and amending Implementing Regulation (EU) 2025/1928 as regards the terms of the authorisation of lutein-rich extract of Tagetes erecta L. for turkeys for fattening (Text with EEA relevance)</t>
  </si>
  <si>
    <t>Lutein-rich and lutein/zeaxanthin extracts from Tagetes erecta were authorised for 10 years as feed additives for poultry (except turkeys) for fattening and laying and for minor poultry species for fattening and laying by Commission Implementing Regulation (EU) 2020/1097. In addition, a preparation of lutein-rich extract of Tagetes erecta L. was authorised for 10 years as a feed additive for turkeys for fattening by Commission Implementing Regulation (EU) 2025/1928. Some amendments and corrections to the two Implementing Regulations are considered necessary to align their provisions based on the substantial similarities in the manufacturing process and composition of the authorised additives: mention of the presence of hexane as solvent and limit thereof in the additives, more accurate description of the additives authorised as preparations, removal of the reference to xanthophylls and update of the method of analysis of lutein in Implementing Regulation (EU) 2020/1097; and alignment of the identification number of the additive lutein-rich extract of Tagetes erecta in Implementing Regulation (EU) 2025/1928.</t>
  </si>
  <si>
    <r>
      <rPr>
        <sz val="11"/>
        <rFont val="Calibri"/>
      </rPr>
      <t>https://members.wto.org/crnattachments/2026/SPS/EEC/26_01112_00_e.pdf
https://members.wto.org/crnattachments/2026/SPS/EEC/26_01112_01_e.pdf</t>
    </r>
  </si>
  <si>
    <t>Circular Letter No 21/2025. Decree No. 12.031/2024: Registration of Foreign Manufacturing Facilities, Product Registration, External Access, and Import Procedures</t>
  </si>
  <si>
    <t>Circular Letter No. 21/2025. As of 8 July 2025, foreign establishments that handle, fraction, group, prepare, or package products intended for animal feed to be exported to Brazil are required to be registered with the Ministry of Agriculture and Livestock (MAPA), and their products must also be registered, in accordance with Decree No. 12,031/2024 and Law No. 14,515 of 2022. Circular Letter No. 12/2025 is hereby revoked.</t>
  </si>
  <si>
    <t>Adoption/publication/entry into force of reg.; Animal diseases; Animal health; Food safety; Human health; Human health; Animal health; Animal diseases</t>
  </si>
  <si>
    <r>
      <rPr>
        <sz val="11"/>
        <rFont val="Calibri"/>
      </rPr>
      <t>https://members.wto.org/crnattachments/2026/SPS/BRA/26_01119_00_x.pdf</t>
    </r>
  </si>
  <si>
    <t>The Supply of Machinery (Safety) (Amendment and Transitional Provisions) Regulations 2026</t>
  </si>
  <si>
    <t>Since 1 January 2021, the UK has continued to recognise CE marked machinery equipment alongside the UKCA (UK Conformity Assessed) marked machinery, for relevant products placed on the GB market. This approach has enabled businesses to use either product marking when placing goods on the GB market. The UK Government (UKG) is introducing the Supply of Machinery (Safety) (Amendment and Transitional Provisions) Regulations 2026 (‘the GB Regulations 2026)’ to continue recognition of certain EU requirements including the CE marking so that machinery meeting these requirements can be placed on the Great Britain (GB) market, subject to certain conditions. This will reflect the changes to the EU machinery directive. The extension of CE recognition through this legislation will apply to Great Britain (England, Scotland, and Wales). </t>
  </si>
  <si>
    <t>Machinery as defined in section 4 of the Supply of Machinery (Safety) Regulations 2008, including interchangeable equipment, safety components, lifting accessories, removable mechnical transmission devices, and partly completed machinery. </t>
  </si>
  <si>
    <t>13.110 - Safety of machinery</t>
  </si>
  <si>
    <t>National security requirements (TBT); Protection of human health or safety (TBT)</t>
  </si>
  <si>
    <t>We are introducing these trade facilitative measures to ensure products can continue to circulate on the market in Great Britain (GB) safely, and in compliance with GB requirements, from January 2027. These measures will ensure that safe machinery and related products continue to be allowed to be placed on the GB market for consumers and prevent trade disruption. National security requirements; Protection of human health or safety.</t>
  </si>
  <si>
    <r>
      <rPr>
        <sz val="11"/>
        <rFont val="Calibri"/>
      </rPr>
      <t>https://members.wto.org/crnattachments/2026/TBT/GBR/26_01105_00_e.pdf</t>
    </r>
  </si>
  <si>
    <t>Product Regulation and Metrology Act - Product Regulation and Metrology Act - UK GovernmentThe draft Regulations 2026 – draft attachedCall for evidence (2024) - Machinery safety legislation: call for evidence - GOV.UK</t>
  </si>
  <si>
    <t>Draft BDS 1498:YYYY Bangladesh Standard Specification for Chewing Gum (Draft for Second Revision) </t>
  </si>
  <si>
    <t>This draft standard specifies the essential requirements and methods of test for different types of chewing gum. It also incorporates the product ingredient lists; guidelines for food additives and food preservatives used for the product; hygienic and legal requirements; and the packaging and marking provisions for the product. Various food safety parameters (e.g. heavy metals and microbiological limit) have been proposed. </t>
  </si>
  <si>
    <t>Chewing Gum, ICS code: 67.060</t>
  </si>
  <si>
    <t>170410 - Chewing gum, whether or not sugar-coated</t>
  </si>
  <si>
    <t>67.060 - Cereals, pulses and derived products</t>
  </si>
  <si>
    <t>The technical committee has reviewed this standard and decided to revise it to address stakeholder's expectation, ensure market relevance and enhance consumer protection. This draft revised standard provides updated requirements relating to product quality and safety parameters for the product and provides harmonization with current national legislations and relevant international (Codex) standards.</t>
  </si>
  <si>
    <r>
      <rPr>
        <sz val="11"/>
        <rFont val="Calibri"/>
      </rPr>
      <t>https://members.wto.org/crnattachments/2026/SPS/BGD/26_01040_00_e.pdf</t>
    </r>
  </si>
  <si>
    <t>Draft. Establishes the phytosanitary requirements for the importation of maize seeds (Zea mays) produced in Venezuela</t>
  </si>
  <si>
    <t>Draft Ordinance aiming to establish the phytosanitary requirements for the importation into Brazil of maize seeds (Zea mays,  Category 4) produced in Venezuela.</t>
  </si>
  <si>
    <t>Zea mays</t>
  </si>
  <si>
    <t>100510 - Maize seed for sowing</t>
  </si>
  <si>
    <t>Venezuela, Bolivarian Republic of</t>
  </si>
  <si>
    <r>
      <rPr>
        <sz val="11"/>
        <rFont val="Calibri"/>
      </rPr>
      <t>https://members.wto.org/crnattachments/2026/SPS/BRA/26_01120_00_x.pdf</t>
    </r>
  </si>
  <si>
    <t>SDA/MAPA Ordinance No. 1.562, 20 February 2026</t>
  </si>
  <si>
    <t>Public consultation of the annex to this Ordinance, containing the proposed ordinance that establishes the procedures for import authorization, reinspection, the Conformity Assessment Program for Imported Products of Animal Origin, special controls applicable to imports of edible products of animal origin, destination of products after internalization and registration of importers and revokes Normative Instruction SDA/MAPA No. 34, of September 25, 2018, Ordinance SDA/MAPA No. 381, of August 12, 2021 and Ordinance SDA/MAPA No. 556, of March 30, 2022.Technically substantiated suggestions should be sent via the Regulatory Acts Monitoring System - SISMAN, of the Secretariat of Agricultural Defense - SDA/MAPA, via the LINK:https://sistemasweb.agricultura.gov.br/sisman/</t>
  </si>
  <si>
    <t>MEAT AND EDIBLE MEAT OFFAL (HS code(s): 02); FISH AND CRUSTACEANS, MOLLUSCS AND OTHER AQUATIC INVERTEBRATES (HS code(s): 03); DAIRY PRODUCE; BIRDS' EGGS; NATURAL HONEY; EDIBLE PRODUCTS OF ANIMAL ORIGIN, NOT ELSEWHERE SPECIFIED OR INCLUDED (HS code(s): 04); PRODUCTS OF ANIMAL ORIGIN, NOT ELSEWHERE SPECIFIED OR INCLUDED (HS code(s): 05); Meat, meat products and other animal produce (ICS code(s): 67.120)</t>
  </si>
  <si>
    <t>02 - MEAT AND EDIBLE MEAT OFFAL; 03 - FISH AND CRUSTACEANS, MOLLUSCS AND OTHER AQUATIC INVERTEBRATES; 04 - DAIRY PRODUCE; BIRDS' EGGS; NATURAL HONEY; EDIBLE PRODUCTS OF ANIMAL ORIGIN, NOT ELSEWHERE SPECIFIED OR INCLUDED; 05 - PRODUCTS OF ANIMAL ORIGIN, NOT ELSEWHERE SPECIFIED OR INCLUDED</t>
  </si>
  <si>
    <t>67.120 - Meat, meat products and other animal produce</t>
  </si>
  <si>
    <t>On the date of its publication</t>
  </si>
  <si>
    <r>
      <rPr>
        <sz val="11"/>
        <rFont val="Calibri"/>
      </rPr>
      <t>https://members.wto.org/crnattachments/2026/TBT/BRA/26_01089_00_x.pdf</t>
    </r>
  </si>
  <si>
    <t>1) Brazilian Official Gazette 35 on 23 February 2026, section 1, page 78</t>
  </si>
  <si>
    <t>Resolución Exenta No 1.159/ 2026 que Modifica resolución No 4.071 de 2022, que establece requisitos fitosanitarios de importación para plantas, estacas y ramillas yemeras de Malus spp., procedentes de Estados Unidos de Norteamérica (Exempt Resolution No. 1.159/2026 amending Resolution No. 4.071 of 2022 establishing phytosanitary requirements for the importation of Malus spp. plants, cuttings and scions from the United States of America)Chile hereby advises that Exempt Resolution No. 1.159/2026 amending Resolution No. 4.071 of 2022 establishing phytosanitary requirements for the importation of Malus spp. plants, cuttings and scions from the United States of America, was published in the Official Journal on 20 February 2026 and entered into force on that date.https://members.wto.org/crnattachments/2026/SPS/CHL/26_01095_00_s.pdf</t>
  </si>
  <si>
    <t>Malus spp. plants, cuttings and scions</t>
  </si>
  <si>
    <t>Plant health; Adoption/publication/entry into force of reg.; Plant health</t>
  </si>
  <si>
    <r>
      <rPr>
        <sz val="11"/>
        <rFont val="Calibri"/>
      </rPr>
      <t>https://members.wto.org/crnattachments/2026/SPS/CHL/26_01095_00_s.pdf</t>
    </r>
  </si>
  <si>
    <t>The DLD order on temporary suspension of importation or transit of live poultry and poultry carcasses from Germany to prevent the spread of High Pathogenicity Avian Influenza</t>
  </si>
  <si>
    <t>Thailand proposes an amendment to the Department of Livestock Development (DLD) Order on temporary suspension of importation or transit of live poultry and poultry carcasses from Germany to prevent the spread of High Pathogenicity Avian Influenza by adding paragraph (2) as follow:                 (1) The WOAH has reported an outbreak of High Pathogenicity Avian Influenza (Subtype H5N1) in the area of Germany. Therefore, it is necessary for Thailand to prevent the entry of High Pathogenicity Avian Influenza (Subtype H5N1) into the country. By the virtue of the Animal Epidemics Act B.E. 2558 (2015), the importation or transit of live poultry and poultry carcasses from Germany has been temporarily suspended.                (2) Where live poultry and poultry carcasses from Germany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poultry or poultry carcasses into or through Thailand. </t>
  </si>
  <si>
    <t>Animal health; Animal diseases; Avian Influenza; Pest- or Disease- free Regions / Regionalization; Animal health; Animal diseases; Avian Influenza; Pest- or Disease- free Regions / Regionalization</t>
  </si>
  <si>
    <t>Draft Decision of the Council of the Eurasian Economic Commission on Amendments to the Customs Union Commission Decision as of 18 June 2010 No. 318</t>
  </si>
  <si>
    <t>The purpose of the Draft is to ensure uniform application of the Procedures for conducting quarantine phytosanitary control (supervision) at the customs border and on the customs territory of the EAEU, established by the Customs Union Commission Decision of 18 June 2010 No. 318. It also technically amends paragraph 4.1.6 of the above-mentioned Procedure applicable at the customs border.</t>
  </si>
  <si>
    <r>
      <rPr>
        <sz val="11"/>
        <rFont val="Calibri"/>
      </rPr>
      <t>https://members.wto.org/crnattachments/2026/SPS/RUS/26_01110_00_x.pdf
https://regulation.eaeunion.org/orv/3352/</t>
    </r>
  </si>
  <si>
    <t>National Food Safety Standard of the P.R.C.: Prepared Dishes</t>
  </si>
  <si>
    <t>This standard applies to prepared dishes. This standard stipulates the definitions, food safety control measures, nutrition and quality requirements, related technical requirements etc.</t>
  </si>
  <si>
    <t>prepared dishes</t>
  </si>
  <si>
    <t>16 - PREPARATIONS OF MEAT, OF FISH, OF CRUSTACEANS, MOLLUSCS OR OTHER AQUATIC INVERTEBRATES, OR OF INSECTS</t>
  </si>
  <si>
    <t> To be determined.</t>
  </si>
  <si>
    <r>
      <rPr>
        <sz val="11"/>
        <rFont val="Calibri"/>
      </rPr>
      <t>https://members.wto.org/crnattachments/2026/SPS/CHN/26_01108_00_x.pdf</t>
    </r>
  </si>
  <si>
    <t>Resolución Exenta No 1.053/ 2026 que Modifica Resolución Exenta SAG No: 5123/2021 que "Establece requisitos fitosanitarios para la importación a Chile de frutos frescos de limón tahiti (Citrus latifolia) y limón sutil (Citrus aurantifolia), producidos en Perú" (Exempt Resolution No. 1.053/2026 amending SAG Exempt Resolution No. 5123/2021 establishing phytosanitary requirements for the importation into Chile of fresh Tahiti limes (Citrus latifolia) and Key limes (Citrus aurantifolia) produced in Peru)Chile hereby advises that Exempt Resolution No. 1.053 of 2026 amending SAG Exempt Resolution No. 5123/2021 establishing phytosanitary requirements for the importation into Chile of fresh Tahiti limes (Citrus latifolia) and Key limes (Citrus aurantifolia) produced in Peru, was published in the Official Journal on 19 February 2026 and entered into force on that date. https://members.wto.org/crnattachments/2026/SPS/CHL/26_01094_00_s.pdf</t>
  </si>
  <si>
    <t>Fresh Tahiti limes (Citrus latifolia) and Key limes (Citrus aurantifolia)</t>
  </si>
  <si>
    <t>080550 - Fresh or dried lemons "Citrus limon, Citrus limonum" and limes "Citrus aurantifolia, Citrus latifolia"; 080550 - Fresh or dried lemons "Citrus limon, Citrus limonum" and limes "Citrus aurantifolia, Citrus latifolia"</t>
  </si>
  <si>
    <t>Pests; Plant health; Adoption/publication/entry into force of reg.; Plant health; Pests</t>
  </si>
  <si>
    <r>
      <rPr>
        <sz val="11"/>
        <rFont val="Calibri"/>
      </rPr>
      <t>https://members.wto.org/crnattachments/2026/SPS/CHL/26_01094_00_s.pdf</t>
    </r>
  </si>
  <si>
    <t>Oil and Gas and Sulfur Operations in the Outer Continental 
Shelf--Revisions to the 2023 Blowout Preventer Systems and Well Control 
Rule</t>
  </si>
  <si>
    <t>Proposed rule - The Department of the Interior (DOI or Department), through the Bureau of Safety and Environmental Enforcement (BSEE), is revising certain regulatory provisions published in the 2023 final well control rule (notified as G/TBT/N/USA/1367/Rev.1/Add.1) for drilling, workover, completion, and decommissioning operations. BSEE is proposing revisions to clarify certain reporting and recordkeeping requirements. This rule would reduce duplicative submissions and provide consistency and clarity of information available for BSEE review.</t>
  </si>
  <si>
    <t>Blowout preventer systems; Quality (ICS code(s): 03.120); Equipment for petroleum and natural gas industries (ICS code(s): 75.180); Petroleum products and natural gas handling equipment (ICS code(s): 75.200)</t>
  </si>
  <si>
    <t>13.020 - Environmental protection; 75.020 - Extraction and processing of petroleum and natural gas; 03.120 - Quality; 75.180 - Equipment for petroleum and natural gas industries; 75.200 - Petroleum products and natural gas handling equipment</t>
  </si>
  <si>
    <r>
      <rPr>
        <sz val="11"/>
        <rFont val="Calibri"/>
      </rPr>
      <t>https://members.wto.org/crnattachments/2026/TBT/USA/26_01096_00_e.pdf</t>
    </r>
  </si>
  <si>
    <t>91 Federal Register (FR) 8397, 23 February 2026; Title 30 Code of Federal Regulations (CFR) Part 250_x000D_
https://www.govinfo.gov/content/pkg/FR-2026-02-23/html/2026-03476.htm_x000D_
https://www.govinfo.gov/content/pkg/FR-2026-02-23/pdf/2026-03476.pdfThis proposed rule is identified by Docket Number BSEE-2026-0100. The Docket Folder is available on Regulations.gov at https://www.regulations.gov/docket/BSEE-2026-0100/document and provides access to primary documents as well as comments received. Documents are also accessible from Regulations.gov by searching the Docket Number. Previous actions notified under the symbol G/TBT/N/USA/1367 are identified by Docket Numbers BSEE-2018-0002 and BSEE-2022-0009</t>
  </si>
  <si>
    <t>Notice of Administration Order of Saudi Food and Drug Authority Ref. No. 24733 dated 1 December 2025 entitled “Temporary ban on importation of poultry meat, eggs and their products originating from Deux-Sèvres, Ain and Maine-et-Loire in France”</t>
  </si>
  <si>
    <t>The Saudi Food and Drug Authority (SFDA) issued the Notice of Administration Order of Saudi Food and Drug Authority Ref. No. 24733 dated 1 December 2025 entitled “Temporary ban on importation of poultry meat, eggs and their products originating from Deux-Sèvres, Ain and Maine-et-Loire in France”. The Saudi Food and Drug Authority (SFDA) has subsequently issued the Notice Administrative Order No. 36498 dated 20 February 2026, lifting the temporary ban on the importation of poultry meat, eggs and their products originating from Maine-et-Loire in France, based on the WOAH report dated 6 February 2026, indicating that Maine-et-Loire in France are free of Highly Pathogenic Avian Influenza Virus (HPAI).</t>
  </si>
  <si>
    <t>Animal health; Animal diseases; Avian Influenza; Food safety; Human health; Pest- or Disease- free Regions / Regionalization; Withdrawal of the measure; Avian Influenza; Human health; Animal health; Food safety; Animal diseases; Pest- or Disease- free Regions / Regionalization</t>
  </si>
  <si>
    <r>
      <rPr>
        <sz val="11"/>
        <rFont val="Calibri"/>
      </rPr>
      <t>https://members.wto.org/crnattachments/2026/SPS/SAU/26_01116_00_x.pdf</t>
    </r>
  </si>
  <si>
    <t>CGIEE Resolution No. 1, 6 February 2026</t>
  </si>
  <si>
    <t>Ministry of Mines and Energy - MME, approves  the  Regulatory Agenda  of  the Energy  Efficiency Indicators and Levels Management Committee for the period 2024 -2026.</t>
  </si>
  <si>
    <t>Regulatory Agenda of the Energy Efficiency Indicators and Levels Management Committee for the period 2024 - 2026</t>
  </si>
  <si>
    <t>13.020.99 - Other standards related to environmental protection; 13.020.99 - Other standards related to environmental protection</t>
  </si>
  <si>
    <t>DEAS 1319: 2026, Activated carbon for precious metal recovery — Specification, First Edition</t>
  </si>
  <si>
    <t>This Draft East African Standard specifies requirements, sampling and test methods for virgin activated carbon to be used in precious metal recovery.</t>
  </si>
  <si>
    <t>Activated carbon (excl. medicaments or deodorant products for fridges, vehicles etc., put up for retail sale) (HS code(s): 380210); Chemical analysis (ICS code(s): 71.040.40)</t>
  </si>
  <si>
    <t>380210 - Activated carbon (excl. medicaments or deodorant products for fridges, vehicles etc., put up for retail sale)</t>
  </si>
  <si>
    <t>71.040.40 - Chemical analysis</t>
  </si>
  <si>
    <t>Consumer information, labelling (TBT); Quality requirements (TBT); Harmonization (TBT); Reducing trade barriers and facilitating trade (TBT)</t>
  </si>
  <si>
    <r>
      <rPr>
        <sz val="11"/>
        <rFont val="Calibri"/>
      </rPr>
      <t>https://members.wto.org/crnattachments/2026/TBT/TZA/26_01074_00_e.pdf</t>
    </r>
  </si>
  <si>
    <t>ASTM D2652, Standard Terminology Relating to Activated Carbon ASTM D2867, Standard Test Methods for Moisture in Activated Carbon ASTM D3467, Standard Test Method for Carbon Tetrachloride Activity of Activated CarbonASTM D2866, Standard Test Method for Total Ash Content of Activated Carbon ASTM D3838, Standard Test Method for pH of Activated Carbon ASTM D2854, Standard Test Method for Apparent Density of Activated CarbonASTM D2862, Standard Test Method for Particle Size Distribution of Granular Activated Carbon ASTM D3802, Standard Test Method for Ball-Pan Hardness of Activated CarbonISO 8213, Chemical products for industrial use – Sampling techniques – Solid chemical products in the form of particles varying from powders to coarse lumps ASTM D5742 Standard Test Method for Determination of Butane Activity of Activated Carbon.ASTM D3466, Standard Test Method for Ignition Temperature of Granular Activated CarbonASTM D4069 Standard Specification for Virgin Activated Carbon Used to Remove Gaseous Radio-Iodines from Gas StreamsTZS 3446:2022, Activated carbon for precious metal recovery — Specification</t>
  </si>
  <si>
    <t>DEAS 1315: 2026, Coal for industrial use — Specification, First Edition</t>
  </si>
  <si>
    <t>This Draft East African Standard specifies the requirements, sampling and test methods for coal for industrial uses._x000D_
This Draft East African Standard applies to coal used for power generation, metallurgy (steel making), cement production, gasification and liquefaction (fuel extraction) chemical production, and agricultural industries</t>
  </si>
  <si>
    <t>Coal; briquettes, ovoids and similar solid fuels manufactured from coal (HS code(s): 2701); Coals (ICS code(s): 73.040)</t>
  </si>
  <si>
    <t>2701 - Coal; briquettes, ovoids and similar solid fuels manufactured from coal</t>
  </si>
  <si>
    <t>73.040 - Coals</t>
  </si>
  <si>
    <t>Prevention of deceptive practices and consumer protection (TBT); Quality requirements (TBT); Harmonization (TBT); Reducing trade barriers and facilitating trade (TBT)</t>
  </si>
  <si>
    <r>
      <rPr>
        <sz val="11"/>
        <rFont val="Calibri"/>
      </rPr>
      <t>https://members.wto.org/crnattachments/2026/TBT/TZA/26_01071_00_e.pdf</t>
    </r>
  </si>
  <si>
    <t>ISO 1213 – 2, Coal and coke — Vocabulary — Part 2: Terms relating to sampling, testing and analysisISO 18283, Coal and coke — Manual samplingISO 562, Hard coal and coke — Determination of volatile matterISO 589, Hard coal — Determination of total moistureISO 1171, Coal and coke — Determination of ashISO 1928, Coal and coke — Determination of gross calorific valueISO 20336, Coal and coke — Determination of total sulfur by Coulomb titration methodIS 439:2020, Industrial coke — SpecificationTZS 2359:2019, Coal for cement manufacture — SpecificationTZS 3656:2022, Coal for industrial use — Specification</t>
  </si>
  <si>
    <t>DEAS 1318: 2026, Grading cut and polished tanzanite — Terminology, classification and test methods, First Edition</t>
  </si>
  <si>
    <t>This Draft East African Standard specifies the terminology, classification and the methods that are used for the grading and description of single unmounted cut and polished tanzanite minimum 0.5 carat (ct)._x000D_
This Draft East African Standard applies to natural, unmounted, cut and polished tanzanite. It is not to be used for synthetic, laboratory grown and imitated tanzanite.</t>
  </si>
  <si>
    <t>Precious stones and semi-precious stones, whether or not worked or graded, but not strung, mounted or set, ungraded precious stones and semi-precious stones, temporarily strung for convenience of transport (excl. diamonds and imitation precious stones and semi-precious stones) (HS code(s): 7103); Jewellery (ICS code(s): 39.060)</t>
  </si>
  <si>
    <t>7103 - Precious stones and semi-precious stones, whether or not worked or graded, but not strung, mounted or set, ungraded precious stones and semi-precious stones, temporarily strung for convenience of transport (excl. diamonds and imitation precious stones and semi-precious stones)</t>
  </si>
  <si>
    <t>39.060 - Jewellery</t>
  </si>
  <si>
    <t>Quality requirements (TBT); Harmonization (TBT); Reducing trade barriers and facilitating trade (TBT)</t>
  </si>
  <si>
    <r>
      <rPr>
        <sz val="11"/>
        <rFont val="Calibri"/>
      </rPr>
      <t>https://members.wto.org/crnattachments/2026/TBT/TZA/26_01073_00_e.pdf</t>
    </r>
  </si>
  <si>
    <t>ISO 24016, Jewellery and precious metals — Grading polished diamonds — Terminology, classification and test methodsISO 18323: 2015, Jewellery — Consumer confidence in the diamond industryTZS 2993: 2022, Grading cut and polished tanzanite — Terminology, classification and test methodsShamika, G.C (2009), Tanzanite Processing Steps at Merelani Tanzania</t>
  </si>
  <si>
    <t>SDA/MAPA Ordinance No. 1.560, 19 February 2026</t>
  </si>
  <si>
    <t>Submits to Public Consultation the proposed ordinance aimed at establishing regulations for the industrial and sanitary inspection of poultry meat and its derivatives.Technically substantiated suggestions should be sent via the Regulatory Acts Monitoring System - SISMAN, of the Secretariat of Agricultural Defense - SDA/MAPA, via the LINK:https://sistemasweb.agricultura.gov.br/sisman/</t>
  </si>
  <si>
    <t>Meat and edible offal of fowls of the species Gallus domesticus, ducks, geese, turkeys and guinea fowls, fresh, chilled or frozen (HS code(s): 0207); Meat, meat products and other animal produce (ICS code(s): 67.120)</t>
  </si>
  <si>
    <r>
      <rPr>
        <sz val="11"/>
        <rFont val="Calibri"/>
      </rPr>
      <t>https://members.wto.org/crnattachments/2026/TBT/BRA/26_01082_00_x.pdf</t>
    </r>
  </si>
  <si>
    <t>1) Brazilian Official Gazette 34 on 20 February 2026, section 1, page 22</t>
  </si>
  <si>
    <t>CDC 15 (3914) DTZS, Motor vehicle brake fluids — Specification, Fourth Edition</t>
  </si>
  <si>
    <t>This Draft Tanzania Standard specifies the requirements, sampling and test methods for automotive brake fluids of the petroleum type, non-petroleum type and silicone type for use in the hydraulic braking systems and clutches of motor vehicles.</t>
  </si>
  <si>
    <t>Hydraulic brake fluids and other prepared liquids for hydraulic transmission, not containing or containing less than 70 % by weight of petroleum oils or oils obtained from bituminous minerals. (HS code(s): 3819); Braking systems (ICS code(s): 43.040.40)</t>
  </si>
  <si>
    <t>3819 - Hydraulic brake fluids and other prepared liquids for hydraulic transmission, not containing or containing less than 70 % by weight of petroleum oils or oils obtained from bituminous minerals.</t>
  </si>
  <si>
    <t>43.040.40 - Braking systems</t>
  </si>
  <si>
    <r>
      <rPr>
        <sz val="11"/>
        <rFont val="Calibri"/>
      </rPr>
      <t>https://members.wto.org/crnattachments/2026/TBT/TZA/26_01084_00_e.pdf</t>
    </r>
  </si>
  <si>
    <t>TZS 4, Rounding off numerical valuesTZS 668 -1: 2017/ISO: 1998 -1:1998 Petroleum Industry - Terminology - Raw materials and productsASTM D1120 Standard test method for boiling point of engine coolantsISO 3104 Petroleum products — Transparent and opaque liquids — Determination of kinematic viscosity and calculation of dynamic viscosityASTM D1500 Standard Test Method for ASTM Color of Petroleum Products (ASTM Color Scale)ASTM D 664 Standard Test Method for Acid Number of Petroleum Products by Potentiometric TitrationISO 4926 Road vehicle — Hydraulic braking systems — Non petroleum base reference fluidsASTM D130 Test Method for Corrosiveness to Copper from Petroleum Products by Copper Strip TestISO 7308, Road vehicles, petroleum-based brake fluids for stored energy hydraulic brakes Specification published by International Organization for Standardization.ISO 4925 Road vehicles — Specification of non-petroleum-based brake fluids for hydraulic systemsISO 2160 Petroleum products — Corrosiveness to copper — Copper strip testISO 3405 Petroleum and related products from natural or synthetic sources — Determination of distillation characteristics at atmospheric pressureISO 7536, Petroleum products — Determination of oxidation stability of gasoline — Induction period methodASTM D 892 Standard Test Method for Foaming Characteristics of Lubricating OilsISO 1817:2024 Rubber, vulcanized or thermoplastic — Determination of the effect of liquidsASTM D2240 Standard Test Method for Rubber Property—Durometer HardnessASTM D1744 Standard Test Method for Determination of Water in Liquid Petroleum Products by Karl Fischer ReagentISO 7309 Road vehicles — Hydraulic braking systems — ISO reference petroleum base fluid viscosity and calculation of dynamic viscositySAE J 1705 Petroleum based brake fluidsFMVSS 116, Motor Vehicle Brake Fluids</t>
  </si>
  <si>
    <t>Propuesta de requisitos fitosanitarios para la importación de esquejes de escabiosa para plantar originarios de Colombia (Draft phytosanitary requirements for the importation of scabious cuttings for planting, originating in Colombia)</t>
  </si>
  <si>
    <t>The notified draft sets out the phytosanitary requirements for the importation of scabious cuttings for planting, originating in Colombia.</t>
  </si>
  <si>
    <t>Scabious cuttings</t>
  </si>
  <si>
    <r>
      <rPr>
        <sz val="11"/>
        <rFont val="Calibri"/>
      </rPr>
      <t>https://members.wto.org/crnattachments/2026/SPS/ECU/26_01042_00_s.pdf</t>
    </r>
  </si>
  <si>
    <t>Actualización de los requisitos fitosanitarios de cumplimiento obligatorio para la importación de fruta fresca de pera (Pyrus pyrifolia) para consumo, originaria de la República de Corea (Update to the mandatory phytosanitary requirements for the importation, for consumption, of fresh Asian pears (Pyrus pyrifolia) from the Republic of Korea)</t>
  </si>
  <si>
    <t>The notified Resolution updates the mandatory phytosanitary requirements for the importation, for consumption, of fresh Asian pears (Pyrus pyrifolia) from the Republic of Korea.</t>
  </si>
  <si>
    <t>Fresh Asian pears (Pyrus pyrifolia)</t>
  </si>
  <si>
    <t>080830 - Fresh pears</t>
  </si>
  <si>
    <t>Republic of Korea</t>
  </si>
  <si>
    <r>
      <rPr>
        <sz val="11"/>
        <rFont val="Calibri"/>
      </rPr>
      <t>https://members.wto.org/crnattachments/2026/SPS/ECU/26_01048_00_s.pdf</t>
    </r>
  </si>
  <si>
    <t>G/SPS/N/ECU/383- 2 -</t>
  </si>
  <si>
    <t>Propuesta de requisitos fitosanitarios para la importación de plantas de escabiosa en sustrato para plantar originarias de Colombia (Draft phytosanitary requirements for the importation of scabious plants in substrate for planting, originating in Colombia)</t>
  </si>
  <si>
    <t>Draft phytosanitary requirements for the importation of scabious plants in substrate for planting, originating in Colombia.</t>
  </si>
  <si>
    <t>Scabious plants in substrate</t>
  </si>
  <si>
    <r>
      <rPr>
        <sz val="11"/>
        <rFont val="Calibri"/>
      </rPr>
      <t>https://members.wto.org/crnattachments/2026/SPS/ECU/26_01046_00_s.pdf</t>
    </r>
  </si>
  <si>
    <t>Decree of the Deputy of Fish Quarantine of the Indonesian Quarantine Authority Number 13 Year 2025 Concerning Procedures for Registration of exporters from the Country of Origin</t>
  </si>
  <si>
    <t>The Decree of the Deputy of Fish Quarantine of the Indonesian Quarantine Authority Number 13 Year 2025 establishes the procedures for the registration of exporters from the country of origin intending to export fish and fishery products into the Republic of Indonesia as a pre-border measure risk control instrument to ensure fish health, biosecurity, traceability, and the safety and quality of fishery products. This regulation regulates the procedure or stages of registration, which include harmonization and bilateral communication with the Competent Authority of the exporting country, submission and evaluation of questionnaires (country and exporters), implementation of on-site audits, and review and determination of registration recommendations. It further sets out provisions concerning the addition of commodity scope, extension of registration validity, periodic monitoring and evaluation, as well as mechanisms for suspension or rejection in cases where minimum requirements are not fulfilled. The Indonesian Quarantine Authority (IQA) will issue registration numbers to all exporters from the country of origin that comply with the import requirements for fish and fishery products as stipulated by Indonesia.In addition, IQA as the competent border authority in Indonesia, as mandated by Law Number 21 of 2019 concerning animal, fish, and plant quarantine, and as the veterinary quarantine authority in accordance with Government Regulation Number 34 of 2024, IQA plays a significant role in the export, import, and inter-area movement of animal, fish, and plant commodities as well as in ensuring that products entering Indonesia are healthy and safe for human consumption.Concerning the entry into force of the provisions stipulated in this regulation, IQA grants a grace period of 12 (twelve) months, commencing from the date this regulation is notified to the WTO Secretariat.</t>
  </si>
  <si>
    <t>Food safety (SPS); Animal health (SPS); Protect humans from animal/plant pest or disease (SPS); Protect territory from other damage from pests (SPS)</t>
  </si>
  <si>
    <t>Animal diseases; Animal health; Food safety; Human health; Territory protection</t>
  </si>
  <si>
    <t>This decree has entered into force, and exporting countries are granted a grace period of twelve (12) months from the date of notification of this decision to implement its provisions.</t>
  </si>
  <si>
    <r>
      <rPr>
        <sz val="11"/>
        <rFont val="Calibri"/>
      </rPr>
      <t>https://members.wto.org/crnattachments/2026/SPS/IDN/26_01060_00_x.pdf</t>
    </r>
  </si>
  <si>
    <t>Propuesta de requisitos fitosanitarios para la importación de plantas a raíz desnuda de verónica para plantar originarias de Colombia (Draft phytosanitary requirements for the importation of bare-rooted veronica plants for planting, originating in Colombia)</t>
  </si>
  <si>
    <t>Draft phytosanitary requirements for the importation of bare-rooted veronica plants for planting, originating in Colombia.</t>
  </si>
  <si>
    <t>Bare-rooted veronica plants</t>
  </si>
  <si>
    <r>
      <rPr>
        <sz val="11"/>
        <rFont val="Calibri"/>
      </rPr>
      <t>https://members.wto.org/crnattachments/2026/SPS/ECU/26_01045_00_s.pdf</t>
    </r>
  </si>
  <si>
    <t>DRS 628: 2026, Dense and lightweight aggregate concrete masonry units — Specification</t>
  </si>
  <si>
    <t>This Draft Rwanda Standard specifies the characteristics and performance requirements of aggregate concrete masonry units made from dense and lightweight aggregates or a combination of both for which the main intended uses are common, facing or exposed masonry in load bearing or non-load bearing building and civil engineering applications. The units are suitable for all forms of walling, including single leaf, external leaf to chimneys, cavity wall, partitions, retaining, and basement. They can provide fire protection, thermal insulation, sound insulation and sound absorption._x000D_
This Standard is applicable to aggregate concrete masonry units of an overall non-rectangular parallelepiped shape, specially shaped and accessory units._x000D_
This Standard does not specify standard sizes for aggregate concrete masonry units, nor standard work dimensions and angles of specially shaped aggregate concrete masonry units._x000D_
It does not apply to:_x000D_
a) storey height panels, chimney flue linings or units intended for use as a damp-proof course;_x000D_
b) units with an incorporated thermal insulation material bonded to the faces of the unit susceptible to be exposed to fire.</t>
  </si>
  <si>
    <t>Concrete and concrete products (ICS code(s): 91.100.30)</t>
  </si>
  <si>
    <t>91.100.30 - Concrete and concrete products</t>
  </si>
  <si>
    <r>
      <rPr>
        <sz val="11"/>
        <rFont val="Calibri"/>
      </rPr>
      <t>https://members.wto.org/crnattachments/2026/TBT/RWA/26_01068_00_e.pdf</t>
    </r>
  </si>
  <si>
    <t>RS ISO 12572, Hygrothermal performance of building materials and products ― Determination of water vapour transmission properties)RS 108, Mortar for masonry — SpecificationRS 524, Masonry units test methods — Determination of thermal propertiesRS 537, Masonry units test methods — Determination of compressive strengthRS 543, Masonry units test methods — Determination of water absorption of aggregate concrete, autoclaved aerated concrete, manufactured stone and natural stone masonry units due to capillary action and the initial rate of water absorption of clay masonry unitsRS 536, Masonry units test methods — Determination of dimensionsRS 539, Masonry units test methods — Determination of flexural strengthRS 538, Masonry units test methods — Determination of initial shear strengthRS 547, Fire classification of construction products and building elements — Classification using data from reaction to fire tests</t>
  </si>
  <si>
    <t>DRS 629: 2026, Kerbs of natural stone for external paving — Requirements and test methods</t>
  </si>
  <si>
    <t>This Draft Rwanda Standard specifies performance requirements and corresponding test methods for all natural stone kerbs used for external paving and road finishes._x000D_
This Standard also provides for the evaluation of conformity and for marking of the natural stone slabs._x000D_
It is applicable to natural stone kerbs used for external paving use including all pavements typical of road works, such as pedestrian and trafficked areas, outdoor squares and similar to be used in an outdoor condition that are subject to the weathering agents, such as temperature changes, rain, ice and wind.</t>
  </si>
  <si>
    <t>Road construction materials (ICS code(s): 93.080.20)</t>
  </si>
  <si>
    <t>93.080.20 - Road construction materials</t>
  </si>
  <si>
    <r>
      <rPr>
        <sz val="11"/>
        <rFont val="Calibri"/>
      </rPr>
      <t>https://members.wto.org/crnattachments/2026/TBT/RWA/26_01069_00_e.pdf</t>
    </r>
  </si>
  <si>
    <t>RS 526, Natural stone test methods — Determination of real and apparent density and total porosityRS 533, Natural stone test methods — Determination of flexural strength under concentrated loadRS 527, Natural stone test methods — Determination of petrographic informationRS 528, Natural stone test methods — Denomination criteriaRS 525, Natural stone test methods —Determination of water absorption coefficient by capillarity</t>
  </si>
  <si>
    <t>Propuesta de requisitos fitosanitarios para la importación de esquejes de verónica para plantar originarios de Colombia (Draft phytosanitary requirements for the importation of veronica cuttings for planting, originating in Colombia)</t>
  </si>
  <si>
    <t>The notified draft sets out the phytosanitary requirements for the importation of veronica cuttings for planting, originating in Colombia.</t>
  </si>
  <si>
    <t>Veronica cuttings</t>
  </si>
  <si>
    <r>
      <rPr>
        <sz val="11"/>
        <rFont val="Calibri"/>
      </rPr>
      <t>https://members.wto.org/crnattachments/2026/SPS/ECU/26_01043_00_s.pdf</t>
    </r>
  </si>
  <si>
    <t>Propuesta de requisitos fitosanitarios para la importación de plantas in vitro de Gypsophila para plantar originarias de Colombia (Draft phytosanitary requirements for the importation of in vitro gypsophila plants for planting, originating in Colombia)</t>
  </si>
  <si>
    <t>Draft phytosanitary requirements for the importation of in vitro gypsophila plants for planting, originating in Colombia.</t>
  </si>
  <si>
    <t>In vitro gypsophila plants</t>
  </si>
  <si>
    <t>Plant health; Plant diseases</t>
  </si>
  <si>
    <r>
      <rPr>
        <sz val="11"/>
        <rFont val="Calibri"/>
      </rPr>
      <t>https://members.wto.org/crnattachments/2026/SPS/ECU/26_01044_00_s.pdf</t>
    </r>
  </si>
  <si>
    <t>DEAS 1317: 2026, Coal — Handling, storage and transportation — Code of Practice, First Edition</t>
  </si>
  <si>
    <t>This Draft East African Standard provides guidelines for coal handling, transportation and storage throughout the entire value chain.</t>
  </si>
  <si>
    <r>
      <rPr>
        <sz val="11"/>
        <rFont val="Calibri"/>
      </rPr>
      <t>https://members.wto.org/crnattachments/2026/TBT/TZA/26_01072_00_e.pdf</t>
    </r>
  </si>
  <si>
    <t>DRS 626:2026, Manufactured stone masonry units — Specification</t>
  </si>
  <si>
    <t>This Draft Rwanda Standard specifies the characteristics and performance requirements of manufactured stone masonry units for which the main intended uses are facing or exposed masonry in load bearing or non-load bearing building and civil engineering applications. The units are suitable for all forms of coursed or random masonry walling, including single leaf, cavity, partition, retaining and the external masonry to chimneys. They can provide fire protection, thermal insulation, sound insulation and sound absorption._x000D_
This standard covers concrete masonry units manufactured to resemble natural stone using casting or pressing techniques with or without textured surfaces produced, by casting, splitting, washing, blasting or tooling and with or without variable outline effects. It covers homogeneous masonry units and those consisting of different facing and backing concrete mixes, but excludes those manufactured with an adhesive bonded decorative face._x000D_
It defines the performance related to e.g. strength, density, dimensional accuracy, surface appearance and provides for the assessment and verification of constancy of performance (AVCP)" of the product to this Standard. The marking requirements for products covered by this Standard are also included._x000D_
This Standard does not apply to storey height panels, masonry units used for chimney flues or units manufactured with an adhesive bonded decorative face. It does not include products intended to be used as a damp proof course nor does it specify standard sizes for manufactured stone masonry units or work dimensions and angles of specially shaped units. It does not cover units with an incorporated thermal insulation material bonded to the faces of the unit susceptible to be exposed to fire.</t>
  </si>
  <si>
    <t>Mineral materials and products (ICS code(s): 91.100.15)</t>
  </si>
  <si>
    <t>91.100.15 - Mineral materials and products</t>
  </si>
  <si>
    <r>
      <rPr>
        <sz val="11"/>
        <rFont val="Calibri"/>
      </rPr>
      <t>https://members.wto.org/crnattachments/2026/TBT/RWA/26_01066_00_e.pdf</t>
    </r>
  </si>
  <si>
    <t>ISO 12491, Statistical methods for quality control of building materials and componentsRS ISO 12572, Hygrothermal performance of building materials and products ― Determination of water vapour transmission properties ― Cup methodRS 524, Masonry units test methods — Determination of thermal propertiesRS 543, Masonry units test methods — Determination of water absorption of aggregate concrete, autoclaved aerated concrete, manufactured stone and natural stone masonry units due to capillary action and the initial rate of water absorption of clay masonry unitsRS 536, Masonry units test methods — Determination of dimensionsRS 537, Masonry units test methods — Determination of compressive strengthRS 538, Masonry units test methods — Determination of initial shear strengthRS 539, Method of test for masonry — Determination of flexural strengthRS 547, Fire classification of construction products and building elements — Classification using data from reaction to fire tests</t>
  </si>
  <si>
    <t>DRS 631-2: 2026, Construction of stone masonry — Code of practice — Part 2: Ashlar stone masonry</t>
  </si>
  <si>
    <t>This Draft Rwanda Standard provided code of practice for the design and construction of ashlar stone masonry._x000D_
This standard does not apply to:_x000D_
a) stone facing and veneering work, and_x000D_
b) masonry for dams and other masonry work.</t>
  </si>
  <si>
    <r>
      <rPr>
        <sz val="11"/>
        <rFont val="Calibri"/>
      </rPr>
      <t>https://members.wto.org/crnattachments/2026/TBT/RWA/26_01077_00_e.pdf</t>
    </r>
  </si>
  <si>
    <t>RS 515 Natural stone — Terminology and classificationDRS 631-1 Construction of stone masonry — Code of practice: Part 1: Rubble stone masonry</t>
  </si>
  <si>
    <t>Resolución 0207 de 2026 del Ministerio de Comercio, Industria y Turismo "Por medio de la cual se modifica la Resolución 1185 de 2024" Por la cual se expide el Reglamento Técnico aplicable a talleres, equipos y procesos de conversión a gas natural comprimido para uso vehicular"" (Ministry of Commerce, Industry and Tourism Resolution No. 0207 of 2026, amending Resolution No. 1185 of 2024, which issues the Technical Regulation governing workshops engaged in, and equipment and procedures for, the conversion of vehicle fuel systems to compressed natural gas)</t>
  </si>
  <si>
    <t>The Republic of Colombia hereby notifies the issuance of Resolution No. 0207 of 2026, amending Resolution No. 1185 of 2024, which issues the Technical Regulation governing workshops engaged in, and equipment and procedures for, the conversion of vehicle fuel systems to compressed 1 This information can be provided by including a website address, a PDF attachment, or other information on where the text of the final/modified measure and/or interpretative guidance can be obtained.G/TBT/N/COL/269/Add.2- 2 - natural gas. The notified Resolution delays the entry into force of the technical regulation to 1 December 2027, in consideration of the need to review and clarify the technical requirements applicable to conversion workshops and related products. During this period, Resolution No. 0957 of 2012, currently in force, will continue to apply. This decision has been adopted based on technical analysis and working sessions conducted with the regulated sector.__________</t>
  </si>
  <si>
    <t>Carboys, bottles, flasks and similar articles for the conveyance or packing of goods, of plastics (HS code: 3923.30); Containers for compressed or liquefied gas, of iron or steel (HS code: 7311); Parts and accessories, for tractors, motor vehicles for the transport of ten or more persons, motor cars, motor vehicles for the transport of goods and special purpose motor vehicles, n.e.s. (HS code: 8708.99)</t>
  </si>
  <si>
    <t>7311 - Containers for compressed or liquefied gas, of iron or steel.; 392330 - Carboys, bottles, flasks and similar articles for the conveyance or packaging of goods, of plastics; 870899 - Parts and accessories, for tractors, motor vehicles for the transport of ten or more persons, motor cars and other motor vehicles principally designed for the transport of persons, motor vehicles for the transport of goods and special purpose motor vehicles, n.e.s.; 392330 - Carboys, bottles, flasks and similar articles for the conveyance or packaging of goods, of plastics; 7311 - Containers for compressed or liquefied gas, of iron or steel.; 870899 - Parts and accessories, for tractors, motor vehicles for the transport of ten or more persons, motor cars and other motor vehicles principally designed for the transport of persons, motor vehicles for the transport of goods and special purpose motor vehicles, n.e.s.</t>
  </si>
  <si>
    <t>75.060 - Natural gas; 75.060 - Natural gas; 75.160.20 - Liquid fuels; 75.160.20 - Liquid fuels</t>
  </si>
  <si>
    <r>
      <rPr>
        <sz val="11"/>
        <rFont val="Calibri"/>
      </rPr>
      <t>https://members.wto.org/crnattachments/2026/TBT/COL/26_01037_00_s.pdf</t>
    </r>
  </si>
  <si>
    <t>DRS 425: 2026, Calcined and non-calcined pozzolanic ash — Specification</t>
  </si>
  <si>
    <t>This Draft Rwanda Standard specifies requirements for pozzolanic ash, whether calcined or non-calcined, intended for use in the manufacture of cement and in the production of concrete and mortar._x000D_
The pozzolanic ash covered by this Standard is derived from naturally occurring siliceous or aluminous materials, including but not limited to volcanic materials, clays, shales, and other mineral sources, which have been processed by crushing, grinding, and, where applicable, calcination to achieve pozzolanic reactivity._x000D_
This Standard is applicable to pozzolanic ash used as:_x000D_
⎯ a constituent in factory-produced blended cements; and_x000D_
⎯ a supplementary cementitious material added directly during the production of concrete or mortar, where appropriate quality control measures are in place._x000D_
The requirements of this Standard are based on performance-oriented criteria, including physical, chemical, and mechanical properties relevant to durability, strength development, and compatibility with cement._x000D_
NOTE This Standard does not cover coal-derived fly ash produced from the combustion of coal, and therefore coal fly ash classifications such as Class F and Class C are covered in ASTM 618.</t>
  </si>
  <si>
    <r>
      <rPr>
        <sz val="11"/>
        <rFont val="Calibri"/>
      </rPr>
      <t>https://members.wto.org/crnattachments/2026/TBT/RWA/26_01063_00_e.pdf</t>
    </r>
  </si>
  <si>
    <t>ASTM C187, Standard Test Method for Amount of Water Required for Normal Consistency of Hydraulic Cement PasteRS ASTM C 311/C 311M, Standard Test Methods for Sampling and Testing Fly Ash or Natural Pozzolans for Use in Portland-Cement ConcreteRS EAS 18-2, Cement — Part 2: Conformity evaluationRS EAS 131-1, Concrete — Part 1: Specification, performance, production and conformityRS EAS 148-1, Cement — Test methods — Part 1: Determination of strengthRS EAS 148-2, Cement — Test methods — Part 2: Chemical analysis of cementRS EAS 148-3, Cement — Test methods — Part 3: Determination of setting time and soundnessRS EAS 148-5, Cement — Test methods — Part 5: Pozzolanicity test for Pozzolanic cementsRS EAS 148-6, Cements — Test methods — Part 6: Determination of finenessRS 211-3, Mortar for masonry — Methods of Test: Part 3: Determination of consistence of fresh mortar (by flow table)</t>
  </si>
  <si>
    <t>CDC 17 (4028) DTZS, Air tool oil — Specification, First edition</t>
  </si>
  <si>
    <t>This draft standard specifies requirements, sampling and test methods for mineral and synthetic formulated oils for percussive and rotary pneumatic tools, airline lubricators, oil-mist lubrication and drip systems.</t>
  </si>
  <si>
    <t>Medium oils and preparations, of petroleum or bituminous minerals, not containing biodiesel, n.e.s. (HS code(s): 271019); Lubricants, industrial oils and related products (ICS code(s): 75.100)</t>
  </si>
  <si>
    <t>271019 - Medium oils and preparations, of petroleum or bituminous minerals, not containing biodiesel, n.e.s.</t>
  </si>
  <si>
    <t>75.100 - Lubricants, industrial oils and related products</t>
  </si>
  <si>
    <r>
      <rPr>
        <sz val="11"/>
        <rFont val="Calibri"/>
      </rPr>
      <t>https://members.wto.org/crnattachments/2026/TBT/TZA/26_01085_00_e.pdf</t>
    </r>
  </si>
  <si>
    <t>ASTM D 92, Standard test method for flash and fire points by Cleveland open cup ASTM D 97, Standard test method for pour point of petroleum productsASTM D 2270, Standard practice for calculating viscosity index from kinematic viscosity at 40 and 100 °C. ASTM D 445/7042, Standard test method for kinematic viscosity of transparent and opaque liquidsASTM D 1298, Standard Test Method for Density, Relative Density, or API Gravity of Crude Petroleum and Liquid Petroleum Products by Hydrometer MethodASTM D 4052, Standard test method for density and relative density of liquids by digital density meter ASTM D130 Test Method for Corrosiveness to Copper from Petroleum Products by Copper Strip Test. ASTM D6743 Standard Test Method for Thermal Stability of Unused Organic Heat Transfer Fluids.ASTM D892 Standard Test Method for Foaming Characteristics of Lubricating OilsASTM D665 Standard Test Method for Rust-Preventing Characteristics of Inhibited Mineral Oil in the Presence of Water ASTM D4052 Standard Test Method for Density, Relative Density, and API Gravity of Liquids by Digital Density MeterASTM D1298 Standard Test Method for Density, Relative Density, or API Gravity of Crude Petroleum and Liquid Petroleum Products by Hydrometer MethodISO 6743-11 Lubricants, industrial oils and related products (class L) — Classification — Part 11: Family P (Pneumatic tools)TZS 668-1/ ISO: 1998-1:1998 Petroleum Industry - Terminology - Raw materials and productsISO 3104, Petroleum products — Transparent and opaque liquids — Determination of kinematic viscosity and calculation of dynamic viscosityASTM D4057, Standard Practice for Manual Sampling of Petroleum and Petroleum Products ASTM D4177, Standard Practice for Automatic Sampling of Petroleum and Petroleum Products</t>
  </si>
  <si>
    <t>Propuesta de requisitos fitosanitarios para la importación de semillas de pachaco originarias de Costa Rica (Draft phytosanitary requirements for the importation of Brazilian fern tree seeds originating in Costa Rica)</t>
  </si>
  <si>
    <t>The notified document sets out draft phytosanitary requirements for the importation of Brazilian fern tree seeds originating in Costa Rica.</t>
  </si>
  <si>
    <t>Brazilian fern tree seeds</t>
  </si>
  <si>
    <r>
      <rPr>
        <sz val="11"/>
        <rFont val="Calibri"/>
      </rPr>
      <t>https://members.wto.org/crnattachments/2026/SPS/ECU/26_01049_00_s.pdf</t>
    </r>
  </si>
  <si>
    <t>DEAS 1316: 2026, Coal briquettes — Specification, First Edition</t>
  </si>
  <si>
    <t>This Draft East African Standard specifies requirements, sampling and test methods for coal briquettes intended for household and commercial use.</t>
  </si>
  <si>
    <t>Consumer information, labelling (TBT); Prevention of deceptive practices and consumer protection (TBT); Quality requirements (TBT); Harmonization (TBT); Reducing trade barriers and facilitating trade (TBT)</t>
  </si>
  <si>
    <r>
      <rPr>
        <sz val="11"/>
        <rFont val="Calibri"/>
      </rPr>
      <t>https://members.wto.org/crnattachments/2026/TBT/TZA/26_01070_00_e.pdf</t>
    </r>
  </si>
  <si>
    <t>ISO 15237, Coal — Determination of total mercuryISO 587, Coal and coke — Determination of chlorine using Eschka mixtureISO 20336, Coal and coke — Determination of total sulfur by Coulomb titration methodISO 1213-2, Coal and coke — Vocabulary — Part 2: Terms relating to sampling, testing and analysisISO 562, Hard coal and coke — Determination of volatile matterISO 589, Hard coal — Determination of total moistureISO 1171, Coal and coke — Determination of ashTZS 2358:2019, Coal briquettes for domestic use — Specification</t>
  </si>
  <si>
    <t>New GB MRLs for potassium phosphonates amending the GB MRL Statutory Register</t>
  </si>
  <si>
    <t>The United Kingdom would like to advise Members of an error in notification G/SPS/N/GBR/119, ‘New GB MRLs for potassium phosphonates amending the GB MRL Statutory Register’.This corrigendum amends an error in the original notification. Section 6 (Description of content) incorrectly referred to a different active substance (ametoctradin). The correct text for Section 6 is provided below. Correct Section 6 (Description of content): “Potassium phosphonates is an approved active substance in Great Britain (GB). An application was received by the Health and Safety Executive (HSE) to set a new Maximum Residue Level (MRL) for honey. Following assessment, a new MRL for potassium phosphonates in honey has been introduced, raising it from 0.5* mg/kg to 150 mg/kg, to accommodate a new authorisation of a plant protection product in Great Britain. The Evaluation Report/Reasoned Opinion supporting the new MRL is available at the following link: The evaluation of a new MRL for potassium phosphonates in honeyThese MRLs are set based on the sum of fosetyl, phosphonic acid and their salts, expressed as fosetyl. The residue levels arising in food from the notified uses result in consumer exposures below the toxicological reference values. As the residue levels exceed the current MRL in force, a new MRL is being adopted. There is no CXL for honey.” The final date for adoption and publication on this notification remains unchanged. </t>
  </si>
  <si>
    <t>Honey (1040000) *For reference, the full list of GB commodity codes is set out in Part 1 of the GB pesticides Maximum Residue Level Statutory Register – see link</t>
  </si>
  <si>
    <t>0409 - Natural honey.; 0409 - Natural honey.</t>
  </si>
  <si>
    <t>Maximum residue limits (MRLs); Food safety; Human health; Maximum residue limits (MRLs); Food safety; Human health</t>
  </si>
  <si>
    <t>Propuesta de requisitos fitosanitarios para la importación de follaje de aralia para uso ornamental, originario de Guatemala (Draft phytosanitary requirements for the importation of aralia foliage for ornamental use, originating in Guatemala)</t>
  </si>
  <si>
    <t>The notified text sets out the draft phytosanitary requirements for the importation of aralia foliage for ornamental use, originating in Guatemala.</t>
  </si>
  <si>
    <t>Aralia foliage</t>
  </si>
  <si>
    <t>0604 - Foliage, branches and other parts of plants, without flowers or flower buds, and grasses, mosses and lichens, of a kind suitable for bouquets or for ornamental purposes, fresh, dried, dyed, bleached, impregnated or otherwise prepared</t>
  </si>
  <si>
    <r>
      <rPr>
        <sz val="11"/>
        <rFont val="Calibri"/>
      </rPr>
      <t>https://members.wto.org/crnattachments/2026/SPS/ECU/26_01050_00_s.pdf</t>
    </r>
  </si>
  <si>
    <t>Draft resolution governing the importation of Adzuki bean (Vigna angularis) seeds for sowing, originating in Canada</t>
  </si>
  <si>
    <t>The notified draft resolution sets out the phytosanitary measures for the importation of Adzuki bean (Vigna angularis) seeds for sowing, originating in Canada</t>
  </si>
  <si>
    <t>Adzuki bean (Vigna angularis) seeds for sowing (HS code: 071332)</t>
  </si>
  <si>
    <t>071332 - Dried, shelled small red "Adzuki" beans "Phaseolus or Vigna angularis", whether or not skinned or split</t>
  </si>
  <si>
    <t>This resolution will enter into force upon signature.</t>
  </si>
  <si>
    <r>
      <rPr>
        <sz val="11"/>
        <rFont val="Calibri"/>
      </rPr>
      <t>https://members.wto.org/crnattachments/2026/SPS/CRI/26_01038_00_s.pdf</t>
    </r>
  </si>
  <si>
    <t>DRS 627: 2026, Calcium silicate masonry units — Specification</t>
  </si>
  <si>
    <t>This Draft Rwanda Standard specifies the characteristics and performance requirements of calcium silicate masonry units for which the main intended uses are inner walls, outer walls, cellars, foundations and external chimney masonry._x000D_
It defines the performance related to strength, density and dimensional accuracy, measured according to the corresponding test methods contained in separate Standards._x000D_
It provides for the assessment and verification of constancy of performance (AVCP) of the product to this Standard. The marking requirement for products covered by this document is also included._x000D_
This Standard applies to all calcium silicate masonry units, including those of an overall nonrectangular parallelepiped shape, specially shaped and accessory units._x000D_
This Standard does not specify standard sizes for calcium silicate masonry units, nor standard work dimensions and angles of specially shaped and accessory units. It does not cover units with more than 60 % volume of voids, nor products made from shale as a major raw material. It does not cover storey height panels._x000D_
It does not apply to units intended for use as a damp-proof course, nor units with an incorporated thermal insulation material bonded to the faces of the unit susceptible to be exposed to fire, nor chimney flue units.</t>
  </si>
  <si>
    <r>
      <rPr>
        <sz val="11"/>
        <rFont val="Calibri"/>
      </rPr>
      <t>https://members.wto.org/crnattachments/2026/TBT/RWA/26_01067_00_e.pdf</t>
    </r>
  </si>
  <si>
    <t>RS ISO 12572, Hygrothermal performance of building materials and products ― Determination of water vapour transmission propertiesRS 524, Masonry units test methods — Determination of thermal propertiesRS 536, Masonry units test methods — Determination of dimensionsRS 537, Masonry units test methods — Determination of compressive strengthRS 538, Masonry units test methods — Determination of initial shear strengthRS 547, Fire classification of construction products and building elements — Classification using data from reaction to fire tests</t>
  </si>
  <si>
    <t>Draft: Regulations relating to maximum levels of mycotoxins in foodstuffs</t>
  </si>
  <si>
    <t>The Department of Health is correcting that the Draft: Regulations relating to maximum levels of mycotoxins in foodstuffs has been published as Regulations relating to maximum levels of mycotoxins in foodstuffs (No. R. 7091 of 6 February 2026) under the Department of Health in terms of the Foodstuffs, Cosmetics, and Disinfectants Act of 1972 (Act No. 54 of 1972). This document corrects the error effective 17 February 2026.</t>
  </si>
  <si>
    <t>Dairy produce; birds' eggs; natural honey; edible products of animal origin, not elsewhere specified or included (HS code(s): 04); Edible vegetables and certain roots and tubers (HS code(s): 07); Edible fruit and nuts; peel of citrus fruit or melons (HS code(s): 08); Cereals (HS code(s): 10); Products of the milling industry; malt; starches; inulin; wheat gluten (HS code(s): 11); Oil seeds and oleaginous fruits; miscellaneous grains, seeds and fruit; industrial or medicinal plants; straw and fodder (HS code(s): 12); Beverages, spirits and vinegar (HS code(s): 22)</t>
  </si>
  <si>
    <t>04 - Dairy produce; birds' eggs; natural honey; edible products of animal origin, not elsewhere specified or included; 07 - Edible vegetables and certain roots and tubers; 08 - Edible fruit and nuts; peel of citrus fruit or melons; 10 - Cereals; 11 - Products of the milling industry; malt; starches; inulin; wheat gluten; 12 - Oil seeds and oleaginous fruits; miscellaneous grains, seeds and fruit; industrial or medicinal plants; straw and fodder; 22 - Beverages, spirits and vinegar; 07 - Edible vegetables and certain roots and tubers; 04 - Dairy produce; birds' eggs; natural honey; edible products of animal origin, not elsewhere specified or included; 08 - Edible fruit and nuts; peel of citrus fruit or melons; 10 - Cereals; 11 - Products of the milling industry; malt; starches; inulin; wheat gluten; 12 - Oil seeds and oleaginous fruits; miscellaneous grains, seeds and fruit; industrial or medicinal plants; straw and fodder; 22 - Beverages, spirits and vinegar; 22 - Beverages, spirits and vinegar; 12 - Oil seeds and oleaginous fruits; miscellaneous grains, seeds and fruit; industrial or medicinal plants; straw and fodder; 11 - Products of the milling industry; malt; starches; inulin; wheat gluten; 07 - Edible vegetables and certain roots and tubers; 10 - Cereals; 08 - Edible fruit and nuts; peel of citrus fruit or melons; 04 - Dairy produce; birds' eggs; natural honey; edible products of animal origin, not elsewhere specified or included</t>
  </si>
  <si>
    <t>13 - ENVIRONMENT. HEALTH PROTECTION. SAFETY; 13 - ENVIRONMENT. HEALTH PROTECTION. SAFETY; 65 - AGRICULTURE; 65 - AGRICULTURE; 67 - FOOD TECHNOLOGY; 67 - FOOD TECHNOLOGY; 13 - Environment. Health protection. Safety; 65 - Agriculture; 67 - Food technology</t>
  </si>
  <si>
    <t>Toxins; Mycotoxins; Human health; Food safety; Adoption/publication/entry into force of reg.; Human health; Food safety; Mycotoxins; Toxins; Adoption/publication/entry into force of reg.; Food safety; Human health; Mycotoxins; Toxins</t>
  </si>
  <si>
    <r>
      <rPr>
        <sz val="11"/>
        <rFont val="Calibri"/>
      </rPr>
      <t xml:space="preserve">https://members.wto.org/crnattachments/2026/SPS/ZAF/26_01080_00_e.pdf
https://www.health.gov.za/wp-content/uploads/2026/02/Mycotoxins-Regulations-R.-7091-of-2026.pdf
</t>
    </r>
  </si>
  <si>
    <t>Notification of Availability and Request for Comment: Revision to 
the Voluntary Standard for Full-Size Baby Cribs&gt;</t>
  </si>
  <si>
    <t>The U.S. Consumer Product Safety Commission's (Commission or CPSC) mandatory rule, Safety Standard for Full-Size Baby Cribs, incorporates by reference ASTM F1169-19, Standard Consumer Safety Specification for Full-Size Baby Cribs. ASTM notified the Commission that it has revised this incorporated voluntary standard. CPSC seeks comment on whether the revision improves the safety of full-size baby cribs.Comments must be received by 6 March 2026.91 Federal Register (FR) 8150, 20 February 2026; Title 16 Code of Federal Regulations (CFR) Part 1219_x000D_
https://www.govinfo.gov/content/pkg/FR-2026-02-20/html/2026-03387.htm_x000D_
https://www.govinfo.gov/content/pkg/FR-2026-02-20/pdf/2026-03387.pdfA read-only copy of the existing (ASTM F1169-19), incorporated standard is available for viewing, at no cost, on the ASTM website at: https://www.astm.org/​READINGLIBRARY/​ A read-only copy of the revised standard (ASTM F1169-25), including a red-lined version that identifies the changes from the 2019 version to the 2025 version, is available, at no cost, on ASTM's website at: https://www.astm.org/​CPSC.htmThis notification of availability and request for comment is identified by Docket Number CPSC-2010-0075. The Docket Folder is available from Regulations.gov at https://www.regulations.gov/docket/CPSC-2010-0075/document and provides access to primary and supporting documents as well as comments received. Documents are also accessible from Regulations.gov by searching the Docket Number. WTO Members and their stakeholders are asked to submit significant adverse comments to the USA TBT Enquiry Point by or before 4pmEastern Time on 6 March 2026. Comments received by the USA TBT Enquiry Point from WTO Members and their stakeholders will be shared with CPSC and will also be submitted to the Docket on Regulations.gov if received within the comment period._x000D_
Other actions notified under the symbol G/TBT/N/USA/564 are identified by Docket Number CPSC-2019-0025</t>
  </si>
  <si>
    <t>Baby cribs (ICS: 97.140, 97.190)</t>
  </si>
  <si>
    <t>97.140 - Furniture; 97.140 - Furniture; 97.190 - Equipment for children; 97.190 - Equipment for children</t>
  </si>
  <si>
    <t>Protection of children and consumers</t>
  </si>
  <si>
    <r>
      <rPr>
        <sz val="11"/>
        <rFont val="Calibri"/>
      </rPr>
      <t>https://members.wto.org/crnattachments/2026/TBT/USA/26_01035_00_e.pdf</t>
    </r>
  </si>
  <si>
    <t>DRS 632: 2026, Gypsum plasterboards — Definitions, requirements and test methods</t>
  </si>
  <si>
    <t>This Draft Rwanda Standard specifies characteristics, performance requirements and test methods for gypsum plasterboards intended to be used in building construction works and gypsum plaster boards intended for secondary manufacturing operations, including boards designed to receive either direct surface decoration or gypsum plaster._x000D_
This Standard does not apply to plasterboards which have been subjected to any secondary manufacturing operations such as insulating composite panels and plasterboards within lamination.</t>
  </si>
  <si>
    <t>Construction materials and building (Vocabularies) (ICS code(s): 01.040.91)</t>
  </si>
  <si>
    <t>01.040.91 - Construction materials and building (Vocabularies)</t>
  </si>
  <si>
    <r>
      <rPr>
        <sz val="11"/>
        <rFont val="Calibri"/>
      </rPr>
      <t>https://members.wto.org/crnattachments/2026/TBT/RWA/26_01078_00_e.pdf</t>
    </r>
  </si>
  <si>
    <t>RS ISO 535, Paper and board — Determination of water absorptiveness — Cobb methodRS ISO 536, Paper and board — Determination of grammageISO 717-1, Acoustics — Rating of sound insulation in buildings and of building elements Part 1: Airborne sound insulationISO 7892, Vertical building elements — Impact resistance tests — Impact bodies and general test proceduresRS ISO 10456, Building materials and products — Hygrothermal properties — Tabulated design values and procedures for determining declared and design thermal valuesISO 10140-2, Acoustics — Laboratory measurement of sound insulation of building elements Part 2: Measurement of airborne sound insulationRS ISO 12572, Hygrothermal performance of building materials and products — Determination of water vapour transmission propertiesRS ISO 16598, Timber structures — Structural classification for sawn timberRS 540, Reaction to fire tests for building products — Building products excluding floorings exposed to the thermal attack by a single burning itemRS 547, Fire classification of construction products and building elements — Part 1: Classification using test data from reaction to fire tests</t>
  </si>
  <si>
    <t>Establecimiento de requisitos fitosanitarios de cumplimiento obligatorio para la importación de plantas in vitro de escabiosa (Scabiosa atropurpurea) para plantar, originarias de Israel (Mandatory phytosanitary requirements for the importation of in vitro sweet scabious (Scabiosa atropurpurea) plants for planting, originating in Israel)</t>
  </si>
  <si>
    <t>The notified Resolution establishes the mandatory phytosanitary requirements for the importation of in vitro sweet scabious (Scabiosa atropurpurea) plants for planting, originating in Israel.</t>
  </si>
  <si>
    <t>In vitro sweet scabious (Scabiosa atropurpurea) plants</t>
  </si>
  <si>
    <r>
      <rPr>
        <sz val="11"/>
        <rFont val="Calibri"/>
      </rPr>
      <t>https://members.wto.org/crnattachments/2026/SPS/ECU/26_01051_00_s.pdf</t>
    </r>
  </si>
  <si>
    <t>G/SPS/N/ECU/386- 2 -</t>
  </si>
  <si>
    <t>Modificación de los requisitos fitosanitarios de cumplimiento obligatorio para la importación de granos de arveja (Pisum sativum) para consumo, originarios de Argentina (Amendment of the mandatory phytosanitary requirements governing the importation of peas (Pisum sativum) for consumption from Argentina)</t>
  </si>
  <si>
    <t>The notified Resolution amends the mandatory phytosanitary requirements governing the importation of peas (Pisum sativum) for consumption from Argentina.</t>
  </si>
  <si>
    <t>Peas (Pisum sativum)</t>
  </si>
  <si>
    <r>
      <rPr>
        <sz val="11"/>
        <rFont val="Calibri"/>
      </rPr>
      <t>https://members.wto.org/crnattachments/2026/SPS/ECU/26_01052_00_s.pdf</t>
    </r>
  </si>
  <si>
    <t>G/SPS/N/ECU/387- 2 -</t>
  </si>
  <si>
    <t>Requirements for Additional Traceability Records for Certain Foods; Exemption for Cottage Cheese Regulated by the National Conference on Interstate Milk Shipments Grade ‘‘A’’ Pasteurized Milk Ordinance; Notification of Exemption</t>
  </si>
  <si>
    <t>The Food and Drug Administration (FDA, the Agency, or we) is announcing that we are granting an exemption for certain cottage cheese products from the requirements of the rule titled ‘‘Requirements for Additional Traceability Records for Certain Foods’’ (the Food Traceability Rule). The Agency is taking this action in accordance with the FDA Food Safety Modernization Act and FDA’s implementing regulations. This exemption is effective on February 20, 2026.</t>
  </si>
  <si>
    <t>HS Code(s): 1211, 2008, 07, 0406, 0407, 08, 0302, 0303, 0306, 0304, 0305, 0307; ICS Code(s): 67</t>
  </si>
  <si>
    <t>0302 - Fish, fresh or chilled (excl. fish fillets and other fish meat of heading 0304); 0303 - Frozen fish (excl. fish fillets and other fish meat of heading 0304); 0304 - Fish fillets and other fish meat, whether or not minced, fresh, chilled or frozen; 0305 - Fish, fit for human consumption, dried, salted or in brine; smoked fish, fit for human consumption, whether or not cooked before or during the smoking process; flours, meals and pellets of fish, fit for human consumption; 0306 - Crustaceans, whether in shell or not, live, fresh, chilled, frozen, dried, salted or in brine, even smoked, incl. crustaceans in shell cooked by steaming or by boiling in water; flours, meals and pellets of crustaceans, fit for human consumption; 0307 - Molluscs, fit for human consumption, even smoked, whether in shell or not, live, fresh, chilled, frozen, dried, salted or in brine; flours, meals and pellets of molluscs, fit for human consumption; 0406 - Cheese and curd; 0407 - Birds' eggs, in shell, fresh, preserved or cooked; 07 - EDIBLE VEGETABLES AND CERTAIN ROOTS AND TUBERS; 08 - EDIBLE FRUIT AND NUTS; PEEL OF CITRUS FRUIT OR MELONS; 1211 - Plants and parts of plants, incl. seeds and fruits, of a kind used primarily in perfumery, in pharmacy or for insecticidal, fungicidal or similar purposes, fresh, chilled, frozen or dried, whether or not cut, crushed or powdered; 2008 - Fruits, nuts and other edible parts of plants, prepared or preserved, whether or not containing added sugar or other sweetening matter or spirit (excl. prepared or preserved with vinegar, preserved with sugar but not laid in syrup, and jams, fruit jellies, marmalades, fruit purée and pastes, obtained by cooking); 0302 - Fish, fresh or chilled (excl. fish fillets and other fish meat of heading 0304); 0304 - Fish fillets and other fish meat, whether or not minced, fresh, chilled or frozen; 08 - EDIBLE FRUIT AND NUTS; PEEL OF CITRUS FRUIT OR MELONS; 0406 - Cheese and curd; 0303 - Frozen fish (excl. fish fillets and other fish meat of heading 0304); 0306 - Crustaceans, whether in shell or not, live, fresh, chilled, frozen, dried, salted or in brine, even smoked, incl. crustaceans in shell cooked by steaming or by boiling in water; flours, meals and pellets of crustaceans, fit for human consumption; 07 - EDIBLE VEGETABLES AND CERTAIN ROOTS AND TUBERS; 1211 - Plants and parts of plants, incl. seeds and fruits, of a kind used primarily in perfumery, in pharmacy or for insecticidal, fungicidal or similar purposes, fresh, chilled, frozen or dried, whether or not cut, crushed or powdered; 0407 - Birds' eggs, in shell, fresh, preserved or cooked; 0305 - Fish, fit for human consumption, dried, salted or in brine; smoked fish, fit for human consumption, whether or not cooked before or during the smoking process; flours, meals and pellets of fish, fit for human consumption; 2008 - Fruits, nuts and other edible parts of plants, prepared or preserved, whether or not containing added sugar or other sweetening matter or spirit (excl. prepared or preserved with vinegar, preserved with sugar but not laid in syrup, and jams, fruit jellies, marmalades, fruit purée and pastes, obtained by cooking); 0307 - Molluscs, fit for human consumption, even smoked, whether in shell or not, live, fresh, chilled, frozen, dried, salted or in brine; flours, meals and pellets of molluscs, fit for human consumption</t>
  </si>
  <si>
    <t>67 - FOOD TECHNOLOGY; 67 - FOOD TECHNOLOGY</t>
  </si>
  <si>
    <t>Human health; Food safety; Food safety; Human health</t>
  </si>
  <si>
    <r>
      <rPr>
        <sz val="11"/>
        <rFont val="Calibri"/>
      </rPr>
      <t>https://members.wto.org/crnattachments/2026/SPS/USA/26_01034_00_e.pdf
https://www.federalregister.gov/d/2026-03362</t>
    </r>
  </si>
  <si>
    <t>DRS 625: 2026, Natural stones — Requirements with guidance for use</t>
  </si>
  <si>
    <t>This Draft Rwanda Standard specifies requirements for natural stones and provides guidance for the application and use of natural stone products._x000D_
It applies to natural stone products intended for masonry elements, wall coverings (including tiles), internal floor and stair finishes (including tiles), exterior floor and stair finishes (including paving), as well as massive stone elements._x000D_
It does not apply to coatings or staining problems, and does not take into account treatments that could modify the performance characteristics of the materials, nor does it apply to agglomerated stones and aggregates.</t>
  </si>
  <si>
    <r>
      <rPr>
        <sz val="11"/>
        <rFont val="Calibri"/>
      </rPr>
      <t>https://members.wto.org/crnattachments/2026/TBT/RWA/26_01065_00_e.pdf</t>
    </r>
  </si>
  <si>
    <t>RS 517, Specification for Natural stone masonry unitsRS 537, Masonry units test methods — Determination of compressive strengthRS 543, Masonry units test methods — Determination of water absorption of aggregate concrete, autoclaved aerated concrete, manufactured stone and natural stone masonry units due to capillary action and the initial rate of water absorption of clay masonry unitsRS 522, Natural stone products — Modular tiles — RequirementsRS 519, Natural stone products — Slabs for cladding — RequirementsRS 533, Natural stone test methods — Determination of flexural strength under concentrated loadRS 525, Natural stone test methods —Determination of water absorption coefficient by capillarityRS 529, Natural stone test methods — Determination of the breaking load at dowel holeRS 535 Natural stone test methods —Determination of flexural strength under constant momentRS 531, Natural stone test methods — Determination of resistance of marble to thermal and moisture cyclesRS 517, Specification for Natural stone masonry unitsRS 541, Natural stone test methods — Determination of resistance to ageing by thermal shockRS 526, Natural stone test methods — Determination of real and apparent density and total porosityRS 532, Natural stone test methods —Determination of abrasion resistanceRS 534, Natural stone test methods — Determination of the slip resistance by means of the pendulumRS 520, Slabs of natural stone for external paving — Requirements and test MethodsRS 521, Sets of natural stone for external paving — Requirements and test methodsRS 528, Natural stone test methods — Denomination criteriaRS 527, Natural stone test methods — Determination of petrographic informationRS 526, Natural stone test methods — Determination of real and apparent density and total porosityRS 524, Masonry units test methods — Determination of thermal propertiesRS 530, Natural stone test methods — Determination of geometric characteristics of unitsDRS 629, Kerbs of natural stone for external paving — Requirements and test methods</t>
  </si>
  <si>
    <t>DRS 630: 2026, Pavements of natural stone paving units and cobbles, and rigid construction with concrete block paving — Part 7: Code of practice for construction</t>
  </si>
  <si>
    <t>This Daft Rwanda Standard provides recommendations for the laying of natural stone paving units and cobbles, and rigid construction with concrete block paving intended for pavements, roads, industrial areas and other paved surfaces subjected to all categories of static and vehicular loading and pedestrian traffic.</t>
  </si>
  <si>
    <r>
      <rPr>
        <sz val="11"/>
        <rFont val="Calibri"/>
      </rPr>
      <t>https://members.wto.org/crnattachments/2026/TBT/RWA/26_01075_00_e.pdf</t>
    </r>
  </si>
  <si>
    <t>ASTM C936/C936M-24, Standard Specification for Solid Concrete Interlocking Paving UnitsRS ISO 1920-2, Testing of concrete — Part 2: Properties of fresh concreteISO 14824-3, Grout for prestressing tendons — Part 3: Test methodsRS 96-5, Aggregates — Determination of particle shape — Part 5: Flakiness index of course aggregatesRS 211-5, Methods of test for mortar for masonry — Part 5: Determination of flexural and compressive strength of hardened mortarRS 211-6, Methods of test for mortar for masonry — Part 6: Determination of adhesive Strength of hardened rendering and plastering mortars on substratesRS 373, Aggregates for concrete — SpecificationRS 521, Sets of natural stone for external paving — Requirements and test methods</t>
  </si>
  <si>
    <t>Imidacloprid; Pesticide Tolerance(s)</t>
  </si>
  <si>
    <t>This regulation establishes tolerances for residues of 
imidacloprid (CASRN 138261-41-3) in or on the food and feed commodities 
of black pepper at 0.05 parts per million (ppm). Under the Federal 
Food, Drug, and Cosmetic Act (FFDCA), the American Spice Trade 
Association submitted a petition to EPA requesting that EPA establish a 
maximum permissible level for residues of this pesticide in or on this 
commodities.</t>
  </si>
  <si>
    <r>
      <rPr>
        <sz val="11"/>
        <rFont val="Calibri"/>
      </rPr>
      <t>https://www.govinfo.gov/content/pkg/FR-2026-02-20/html/2026-03368.htm</t>
    </r>
  </si>
  <si>
    <t xml:space="preserve">In making its tolerance decisions, EPA seeks to harmonize U.S. tolerances with international standards whenever possible, consistent with U.S. food safety standards and agricultural practices. EPA considers the international maximum residue limits (MRL) established by the Codex Alimentarius Commission (Codex), as required by FFDCA section 408(b)(4). 
The Codex Alimentarius is a joint United Nations Food and Agriculture Organization/World Health Organization food standards program, and it is recognized as an international food safety standards-setting organization in trade agreements to which the United States is a party. EPA may establish a tolerance that is different from a Codex MRL; however, FFDCA section 408(b)(4) requires that EPA explain the reasons for departing from the Codex level. 
Neither Codex nor Canada's Pest Management Regulatory Agency (PMRA) have established a MRL for imidacloprid in/on black pepper. Therefore, there are no harmonization issues regarding the establishment of a tolerance without a U.S. registration on black pepper.
</t>
  </si>
  <si>
    <t>DRS 144: 2026, Concrete building blocks and bricks — Specification</t>
  </si>
  <si>
    <t>This Draft Rwanda Standard specifies precast solid and precast hollow concrete masonry building blocks and bricks for use in interior and exterior use in constructing structural and non-structural masonry walling, and are made from Portland cement, water and suitable mineral aggregates with or without the inclusion of other materials._x000D_
Building block and bricks covered by this standard are:_x000D_
a) hollow load bearing and non-load bearing cement blocks; and_x000D_
b) solid load-bearing cement blocks and bricks._x000D_
This Standard specifies performance requirements related to dimensional accuracy, density, strength, water absorption, shrinkage and moisture movement for hollow blocks and solid cement blocks or bricks.</t>
  </si>
  <si>
    <t>Cement. Gypsum. Lime. Mortar (ICS code(s): 91.100.10)</t>
  </si>
  <si>
    <r>
      <rPr>
        <sz val="11"/>
        <rFont val="Calibri"/>
      </rPr>
      <t>https://members.wto.org/crnattachments/2026/TBT/RWA/26_01061_00_e.pdf</t>
    </r>
  </si>
  <si>
    <t>RS ASTM C140/C140M, Standard Test Methods for Sampling and Testing Concrete Masonry Units and Related UnitsRS ASTM C426, Standard Test Method for Linear Drying Shrinkage of Concrete Masonry UnitsISO 18985, Recycled aggregates for concreteISO 18985, Recycled aggregates for concreteRS ISO 19596, Admixtures for concreteRS ISO 12439, Mixing water for concreteRS EAS 18-1, Cement — Part 1: Composition, specification and conformity criteria for common cementRS 96, Methods of test for aggregatesRS 107, Building sands — SpecificationRS 425. Calcined and non-calcined pozzolanic ash — SpecificationRS 373, Aggregates for concrete — Specification</t>
  </si>
  <si>
    <t>DRS 631-1: 2026, Construction of stone masonry — Code of practice —_x000D_
Part 1: Rubble stone masonry</t>
  </si>
  <si>
    <t>This Draft Rwanda Standard provides a code of practice for the design and construction of rubble stone masonry._x000D_
This standard does not apply to:_x000D_
a) stone facing and veneering work;_x000D_
b) stone lintels;_x000D_
c) stone stair case; and_x000D_
d) masonry for dams and other masonry work.</t>
  </si>
  <si>
    <r>
      <rPr>
        <sz val="11"/>
        <rFont val="Calibri"/>
      </rPr>
      <t>https://members.wto.org/crnattachments/2026/TBT/RWA/26_01076_00_e.pdf</t>
    </r>
  </si>
  <si>
    <t>RS 515, Natural stone — Terminology and classificationRS EAS 18-1, Cements ― Part 1: Composition, specification and conformity criteria for common cementsRS 426-1, Masonry Cement — Part 1: Composition, Conformity criteria and SpecificationsRS 516, Natural stone — Rough blocks — RequirementsRS 517, Specification for Natural stone masonry unitsRS 518, Recommendations for dimensions and workmanship of natural building stones for masonryRS 549, Natural stone test methods — Determination of water absorption at atmospheric pressureRS 527, Natural stone test methods — Determination of petrographic informationRS 108, Mortar for masonry — SpecificationsRS 426-1, Masonry Cement — Part 1: CompositionRS EAS 73, Building limes (Quicklime and Hydrated Lime) — SpecificationRS 425, Fly ash used in concrete and cement — SpecificationsRS 107, Building sands — SpecificationsRS ISO 12439, Mixing water for concreteRS 261, Granite products — Specification</t>
  </si>
  <si>
    <t>Standards Law (Compliance with US Federal Regulations) (Amendment No. 21) 5786-2026</t>
  </si>
  <si>
    <t>The Ministry of Economy and Industry announced a new standardization reform following the Israeli Government Decision No. 3386. The reform will allow the import and production of goods in accordance with US Federal Regulations, provided the products are manufactured in the United States or Israel._x000D_
The purpose of the proposed amendment is to add an alternative route for the import and manufacture of goods subject to mandatory standards. The new route relies on U.S. federal regulations, reduces regulatory requirements at the import stage, and focuses on market surveillance, based on risk management.Main points of the legislation:Updating the Standards Law to add the relevant legislation infrastructure for the adoption of US Federal Regulations;Adding Chapter D2: Adoption of US Federal Regulations requirements; Adding Annex 8 regarding the adopted US Federal Regulations, including the adoption of US Federal Regulations for specific products with variable conditions, as follows:Title 16 of the CFR - Commercial Practices, regarding only the technical requirements of the following products:Children's and baby products;Cleaning products, hazardous materials - intended for use by the general public and sold at retail, except for those requiring a toxic permit from the Ministry of Environmental Protection;Pressure cookers, bicycle helmets, lighters, etc.Title 21 of the CFR – Food and Drugs, regarding only the technical requirements of the following products:Plastic, ceramic, and glass materials that come into contact with food and beverages;Sunglasses and metal frames for glasses.Title 29 of the CFR - Labor, regarding only the technical requirements of the following products:Cleaning products, hazardous materials;Ladders and stools.Title 49 of the CFR - Transportation, regarding only the technical requirements of vehicle restraint devices.Title 40 of the CFR - Protection of the Environment, regarding only the technical requirements of the following products:Cleaning products, hazardous materials - intended for use by the general public and sold at retail, except for those requiring a toxic permit from the Ministry of Environmental Protection;Adding Annex 9 regarding violations (currently has no content);Adding Annex 10 regarding secondary legislation referring to a standard, a mandatory standard, or establishing a provision that restricts the production, import, sale, or use of a product to which a mandatory standard applies (the table currently has no content).Adding an indirect amendment to the Import and Export Decree to include all the new aspects of this reform.</t>
  </si>
  <si>
    <t>The following products and commodities that are subject to Mandatory Standards:* Children's and baby products;_x000D_
* Cleaning products, hazardous materials - intended for use by the general public and sold at retail, except for those requiring a toxic permit from the Ministry of Environmental Protection;_x000D_
* Pressure cookers, bicycle helmets, lighters, etc.;_x000D_
* Plastic, ceramic, and glass materials that come into contact with food and beverages;_x000D_
* Sunglasses and metal frames for glasses;_x000D_
* Ladders and stools;_x000D_
* Vehicle restraint devices.</t>
  </si>
  <si>
    <t>43.040.80 - Crash protection and restraint systems; 67.250 - Materials and articles in contact with foodstuffs; 71.100.40 - Surface active agents; 97.145 - Ladders; 97.180 - Miscellaneous domestic and commercial equipment; 97.190 - Equipment for children</t>
  </si>
  <si>
    <t>Harmonization (TBT); Reducing trade barriers and facilitating trade (TBT); Cost saving and productivity enhancement (TBT)</t>
  </si>
  <si>
    <t xml:space="preserve">
5 months from the date of publication of this amendment inIsrael's Official Gazette, section of Government Notice.
The Minister of Economy and Industry may, by decree, postpone the entry into force if he is convinced that the capacity building of the required supervisory and enforcement powers has not been completed.</t>
  </si>
  <si>
    <r>
      <rPr>
        <sz val="11"/>
        <rFont val="Calibri"/>
      </rPr>
      <t>https://fs.knesset.gov.il/25/law/25_ls1_10820156.pdf</t>
    </r>
  </si>
  <si>
    <t xml:space="preserve">Israel's Standards Law, 5733-1953 and all its amendments;Israel's Import and Export Decree [New Version], 5769-1979._x000D_
</t>
  </si>
  <si>
    <t>Unlicensed Use of the 6 GHz Band; Expanding Flexible Use in Mid-
Band Spectrum Between 3.7 and 24 GHz</t>
  </si>
  <si>
    <t xml:space="preserve">Proposed rule - In this document, the Federal Communications Commission 
(Commission or FCC) issued a Third Further Notice of Proposed 
Rulemaking to seek comment on two proposals to improve 6 GHz band 
(5.925-7.125 GHz) unlicensed device performance. One proposal would 
allow automated frequency coordination (AFC) systems to take into 
account building entry loss (BEL) when determining frequency and power-
level availability for access points that are authorized to operate in 
both standard power and LPI modes--i.e., composite indoor/standard-
power access points. This will provide stronger signals and better 
coverage inside homes and buildings, without increasing the risk of 
harmful interference to licensed services that share the 6 GHz band. 
Another proposal would allow low-power indoor access points to operate 
on cruise ships. These devices were previously banned on boats, but the 
Commission believes the risk of harmful interference occurring from 
this application is low because cruise ships are few in number and 
their thick metal walls block signals from escaping. The Commission 
also seeks comment broadly on any changes that could be made to the 6 
GHz band unlicensed rules to reflect technological and business 
developments since the rules were first adopted in 2020.&gt;_x000D_
</t>
  </si>
  <si>
    <t>03.120 - Quality; 33.060 - Radiocommunications; 33.070 - Mobile services</t>
  </si>
  <si>
    <r>
      <rPr>
        <sz val="11"/>
        <rFont val="Calibri"/>
      </rPr>
      <t>https://members.wto.org/crnattachments/2026/TBT/USA/26_01036_00_e.pdf
https://members.wto.org/crnattachments/2026/TBT/USA/26_01036_01_e.pdf</t>
    </r>
  </si>
  <si>
    <t>91 Federal Register (FR) 8173, 20 February 2026; Title 47 Code of Federal Regulations (CFR) Part 15_x000D_
https://www.govinfo.gov/content/pkg/FR-2026-02-20/html/2026-03420.htm_x000D_
https://www.govinfo.gov/content/pkg/FR-2026-02-20/pdf/2026-03420.pdf_x000D_
https://docs.fcc.gov/public/attachments/FCC-26-1A1.pdfThis proposed rule is identified by ET Docket No. 18-295 and GN Docket No. 17-183FCC 26-1 and provide access to associated documents. The full text of the proposed rule is available from the Commission's website at https://docs.fcc.gov/public/attachments/FCC-26-1A1.pdf. Documents are also accessible from the FCC's Electronic Document Management System (EDOCS) by searching the Docket Number. Filings (comments) are accessible at https://www.fcc.gov/ecfs/search/search-filings/results?q=(proceedings.name:(%2218-295%22))</t>
  </si>
  <si>
    <t>Proposed partial amendments to the “Standard on Pharmaceutical Equivalence Test”</t>
  </si>
  <si>
    <t>The Ministry of Food and Drug Safety (MFDS) intend to amend the following provisions of the “Standard on Pharmaceutical Equivalence Test” : _x000D_
1) In case the change of a manufacturing site is accompanied by the change of manufacturing processes/methods, the equivalence data requirements before and after the change shall be rationally adjusted and applied in a differentiated manner based on  the level of change, as specified in [Annex 3] ”Levels of Changes in Manufacturing Methods and Dossier Submission Requirements.” (Annex 4 of the draft)_x000D_
2) In accordance with the newly established Article 27, Paragraph 3, Subparagraph 9 of the ”Regulation for Pharmaceutical Approvals, Notifications and Reviews,” where it is impossible or not meaningful to conduct a bioequivalence study, the bioequivalence data may be replaced with scientifically justified test data. (Annex  4 of the draft) </t>
  </si>
  <si>
    <t>Medicinal products, pharmaceuticals</t>
  </si>
  <si>
    <t>Regulatory improvement</t>
  </si>
  <si>
    <r>
      <rPr>
        <sz val="11"/>
        <rFont val="Calibri"/>
      </rPr>
      <t>https://members.wto.org/crnattachments/2026/TBT/KOR/26_01059_00_x.pdf</t>
    </r>
  </si>
  <si>
    <t>MFDS NOTIFICATION No. 2026-087, 13 February 2026</t>
  </si>
  <si>
    <t>Amendments to the Table IV of the Fifth A Schedule, Table I of the Twelfth Schedule, Table II of the Sixteenth AA Schedule, Table IA of the Twenty-First Schedule and Table III of the Twenty-First A Schedule of the Food Regulations 1985 [P.U.(A) 437/1985</t>
  </si>
  <si>
    <t>The proposed amendments to the Schedules of the Food Regulations 1985 [P.U.(A) 437/1985] are as follows:To insert new component under conditions for other function claims by inserting Galactooligosaccharide (GOS) as a new component including its function claims, minimum amount required and its conditions in the Table IV of the Fifth A Schedule;To insert new permitted added nutrient by inserting Partially hydrolyzed guar guam (PHGG) as a new dietary fibre in the other food components in the Table I of Twelfth Schedule;To insert new optional ingredient in formulated milk powder for children by inserting 3’-Fucosyllactose (3’-FL) and its specified maximum nutrient level in Table II of the Sixteenth AA Schedule;To insert new optional ingredient in infant formula by inserting 3’-Fucosyllactose (3’-FL) and its specified maximum nutrient level in Table IA of the Twenty-First Schedule; and To insert new optional ingredient in follow-up formula by inserting 3’-Fucosyllactose (3’-FL) and its specified maximum nutrient level in Table III of the Twenty-First A Schedule.</t>
  </si>
  <si>
    <t>All food (ICS:67), Food preparations for use by infants or young children (HS Code: 2106.90.73 00).</t>
  </si>
  <si>
    <t>210690 - Food preparations, n.e.s.</t>
  </si>
  <si>
    <t>Six months from the date of publication</t>
  </si>
  <si>
    <t>Food Act 1983 [Act 281Food Regulations 1985 [P.U.(A) 437/1985</t>
  </si>
  <si>
    <t>DRS 397-7: 2026, Use of glass in buildings — Part 7: Code of practice for the provision of information</t>
  </si>
  <si>
    <t>This Draft Rwanda Standard specifies classification, general design, performance requirements and test methods for gully tops and manhole tops._x000D_
It applies for manhole tops and gully tops with a clear opening up to and including 1 000 mm for installation within areas subjected to pedestrian and/or vehicular traffic._x000D_
This standard is not applicable to gratings as part of prefabricated drainage channels, floor and roof gullies in buildings and surface boxes._x000D_
NOTE This Part 1 of DRS 607 is not applicable in isolation, but only in combination with DRS 607-2, DRS 607-3, DRS 607-4, DRS 607-5 and DRS 607-6.</t>
  </si>
  <si>
    <t>Glass in building (ICS code(s): 81.040.20)</t>
  </si>
  <si>
    <t>81.040.20 - Glass in building</t>
  </si>
  <si>
    <r>
      <rPr>
        <sz val="11"/>
        <rFont val="Calibri"/>
      </rPr>
      <t>https://members.wto.org/crnattachments/2026/TBT/RWA/26_01062_00_e.pdf</t>
    </r>
  </si>
  <si>
    <t>This Draft Rwanda Standard gives recommendations for the provision of information required to ensure a successful glazing installation._x000D_
These recommendations do not apply to:_x000D_
a) glazing for furniture and fittings;_x000D_
b) glazing for commercial greenhouses; and_x000D_
c) glazing for domestic greenhouses.</t>
  </si>
  <si>
    <t>DRS 624: 2026, Ready mixed concrete — Specification</t>
  </si>
  <si>
    <t>This Draft Rwanda Standard specifies requirements, sampling and test methods for ready-mixed concrete as defined in 3.2. Requirements for quality of ready-mixed concrete are either as stated in this specification or as ordered by the purchaser. When the purchaser’s requirements, as stated in the order, differ from those in this specification, the purchaser’s requirements govern._x000D_
This standard is applicable to the production of the ready-mixed concrete and the purchase of the ready-mixed concrete._x000D_
It does not cover the placement, consolidation, curing or protection of the concrete after delivery to the purchaser._x000D_
NOTE This standard does not purport to address all of the safety concerns, if any, associated with its use. It is the responsibility of the user of this standard to establish appropriate safety, health and environmental practices and determine the applicability of regulatory limitations prior to use.</t>
  </si>
  <si>
    <r>
      <rPr>
        <sz val="11"/>
        <rFont val="Calibri"/>
      </rPr>
      <t>https://members.wto.org/crnattachments/2026/TBT/RWA/26_01064_00_e.pdf</t>
    </r>
  </si>
  <si>
    <t>ASTM C125, Terminology Relating to Concrete and Concrete AggregatesASTM C231/C231M, Test Method for Air Content of Freshly Mixed Concrete by the Pressure MethodRS ASTM C494/C494M, Specification for Chemical Admixtures for ConcreteASTM C1064/C1064M, Test Method for Temperature of Freshly Mixed Hydraulic-Cement ConcreteC1798/C1798M, Specification for Returned Fresh Concrete for Use in a New Batch of Ready-Mixed ConcreteASTM C39/C39M, Test Method for Compressive Strength of Cylindrical Concrete SpecimensASTM C138/C138M, Test Method for Density (Unit Weight), Yield, and Air Content (Gravimetric) of ConcreteRS EAS 18-1, Cements ― Part 1: Composition, specification and conformity criteria for common cementsRS ISO 1920-3, Testing of concrete — Part 3: Making and curing test specimensRS 373: 2018, Aggregates for concrete — SpecificationRS ISO 1920-1 Practice for Sampling Freshly Mixed Concrete</t>
  </si>
  <si>
    <t>SDA/MAPA Ordinance No. 1.559, 19 February 2026</t>
  </si>
  <si>
    <t>Submits to Public Consultation the proposed ordinance aimed at establishing regulations for the industrial and sanitary inspection of pork and its derivatives.Technically substantiated suggestions should be sent via the Regulatory Acts Monitoring System - SISMAN, of the Secretariat of Agricultural Defense - SDA/MAPA, via the LINK:https://sistemasweb.agricultura.gov.br/sisman/</t>
  </si>
  <si>
    <t>Meat of swine, fresh, chilled or frozen (HS code(s): 0203); Meat, meat products and other animal produce (ICS code(s): 67.120)</t>
  </si>
  <si>
    <t>0203 - Meat of swine, fresh, chilled or frozen</t>
  </si>
  <si>
    <r>
      <rPr>
        <sz val="11"/>
        <rFont val="Calibri"/>
      </rPr>
      <t>https://members.wto.org/crnattachments/2026/TBT/BRA/26_01081_00_x.pdf</t>
    </r>
  </si>
  <si>
    <t>1) Brazilian Official Gazette 34 on 20 February 2026, section 1, page 10</t>
  </si>
  <si>
    <t>Propuesta de requisitos fitosanitarios para la importación de plantas de verónica en sustrato artificial para plantar originarias de Colombia (Draft phytosanitary requirements for the importation of veronica plants in artificial substrate for planting, originating in Colombia)</t>
  </si>
  <si>
    <t>Draft phytosanitary requirements for the importation of veronica plants in artificial substrate for planting, originating in Colombia.</t>
  </si>
  <si>
    <t>Veronica plants in substrate</t>
  </si>
  <si>
    <r>
      <rPr>
        <sz val="11"/>
        <rFont val="Calibri"/>
      </rPr>
      <t>https://members.wto.org/crnattachments/2026/SPS/ECU/26_01047_00_s.pdf</t>
    </r>
  </si>
  <si>
    <t>New GB MRLs for ametoctradin amending the GB MRL Statutory Register</t>
  </si>
  <si>
    <t>The United Kingdom would like to advise Members of an error in notificationG/SPS/N/GBR/118, ‘New GB MRLs for ametodactrin amending the GB MRL Statutory Register’. This corrigendum amends an error in the original notification. The active substance was misspelt in the title of the notified document in Section 5. The correct spelling is ametoctradin. To clarify, the corrected title should read: ‘New GB MRLs for ametoctradin amending the GB MRL Statutory Register’.There has been no change to the notified measure, and the document remains available via the link provided in the original notification.  The final date for adoption and publication on this notification remains unchanged. </t>
  </si>
  <si>
    <t>Honey (1040000) * For reference, the full list of GB commodity codes is set out in Part 1 of the GB pesticides Maximum Residue Level Statutory Register – see link</t>
  </si>
  <si>
    <t>Food safety; Human health; Maximum residue limits (MRLs); Food safety; Maximum residue limits (MRLs); Human health</t>
  </si>
  <si>
    <t>Draft Decision of the Council of the Eurasian Economic Commission on Amendments to the Customs Union Commission Decision as of 18 June 2010, No. 318</t>
  </si>
  <si>
    <t>The Draft is aimed at ensuring uniform application of the provisions of the Procedure for Conducting Quarantine Phytosanitary Control (Supervision) at the Customs Border of the Eurasian Economic Union and the Procedure for Conducting Quarantine Phytosanitary Control (Supervision) on the Customs Territory of the Eurasian Economic Union, established by the Customs Union Commission Decision as of 18 June 2010, No. 318, as well as correcting a technical inaccuracy in paragraph 4.1.6 of the Procedure applicable at the customs border. </t>
  </si>
  <si>
    <t>Goods (products) subject to phytosanitary control </t>
  </si>
  <si>
    <r>
      <rPr>
        <sz val="11"/>
        <rFont val="Calibri"/>
      </rPr>
      <t>https://members.wto.org/crnattachments/2026/SPS/KGZ/26_00961_00_x.pdf
https://requlation.eaeunion.org/orv/3352/</t>
    </r>
  </si>
  <si>
    <t>Parts and Accessories Necessary for Safe Operation; Auxiliary Fuel Tanks</t>
  </si>
  <si>
    <t>The Federal Motor Carrier Safety Administration (FMCSA) amends its fuel tank requirements to add an exception to the prohibition on gravity and syphon feeds for auxiliary pumps with a nominal fuel tank capacity of not more than five gallons mounted on the trailer chassis frame or trailer bed, for purposes other than operation of the motor vehicle, that are operated only when the motor vehicle is not in motion. This revision responds to a petition for rulemaking from the Truck Trailer Manufacturers Association (TTMA). The revision provides relief from a regulatory requirement without impacting safety.Effective 23 March 2026.    Petitions for reconsideration of this final rule must be submitted to the FMCSA Administrator no later than 23 March 2026.91 Federal Register (FR) 7890, 19 February 2026; Title 49 Code of Federal Regulations (CFR) Part 393_x000D_
https://www.govinfo.gov/content/pkg/FR-2026-02-19/html/2026-03257.htm_x000D_
https://www.govinfo.gov/content/pkg/FR-2026-02-19/pdf/2026-03257.pdfThis final rule and the notice of proposed rulemaking notified as G/TBT/N/USA/2211 are identified by Docket Number FMCSA-2025-0120. The Docket Folder is available on Regulations.gov at https://www.regulations.gov/docket/FMCSA-2025-0120/document and provides access to primary documents as well as comments received. Documents are also accessible from Regulations.gov by searching the Docket Number. WTO Members and their stakeholders are asked to submit petitions for reconsideration of this final rule to the USA TBT Enquiry Point by or before 4pmEastern Time on 23 March 2026. Petitions for reconsideration received by the USA TBT Enquiry Point from WTO Members and their stakeholders will be shared with FMCSA and will also be submitted to the Docket on Regulations.gov if received by 23 March 2026.</t>
  </si>
  <si>
    <t>Motor vehicle auxiliary fuel tanks; Vessels and containers mounted on vehicles (ICS code(s): 23.020.20); Fuel systems (ICS code(s): 43.060.40); Commercial vehicles (ICS code(s): 43.080)</t>
  </si>
  <si>
    <t>23.020.20 - Vessels and containers mounted on vehicles; 43.060.40 - Fuel systems; 43.080 - Commercial vehicles; 23.020.20 - Vessels and containers mounted on vehicles; 43.060.40 - Fuel systems; 43.080 - Commercial vehicles</t>
  </si>
  <si>
    <t>Prevention of deceptive practices and consumer protection (TBT); Cost saving and productivity enhancement (TBT)</t>
  </si>
  <si>
    <r>
      <rPr>
        <sz val="11"/>
        <rFont val="Calibri"/>
      </rPr>
      <t>https://members.wto.org/crnattachments/2026/TBT/USA/final_measure/26_01015_00_e.pdf</t>
    </r>
  </si>
  <si>
    <t>El Salvador</t>
  </si>
  <si>
    <t>Salvadoran Technical Regulation (RTS) No. 65.02.01:13: Maximum residue limits for chemical pesticides in fruit and vegetables for domestic production and import</t>
  </si>
  <si>
    <t>On 22 December 2025, the Government of the Republic of El Salvador notified, in document G/TBT/N/SLV/169/Add.1, draft Salvadoran Technical Regulation (RTS) No. 65.02.01:13 on maximum residue limits (MRLs) for chemical pesticides in fruit and vegetables for domestic production and import. This text seeks to regulate the presence of pesticide and metabolite residues in fruit and vegetables by establishing MRLs based on the MRLs set by the Codex Alimentarius Commission, the US Environmental Protection Agency (EPA) and the European Union (Regulation (EC) No 396/2005 of the European Parliament and of the Council), so as to ensure that such residues pose no risk to human or animal health or to the environment.1 This information can be provided by including a website address, a PDF attachment, or other information on where the text of the final/modified measure and/or interpretative guidance can be obtained.G/TBT/N/SLV/169/Add.2- 2 - The purpose of this Addendum is to notify WTO Members that the content of this Salvadoran Technical Regulation has been updated, and they will therefore have an additional 30 days from the date of this notification to submit comments and observations.The full text is available from:Ministerio de Economía (Ministry of Economic Affairs)Dirección de Acuerdos Comerciales Internacionales (Directorate for International Trade Agreements)Alameda Juan Pablo II y Calle Guadalupe, Plan Maestro, San Salvador, El SalvadorWebsite: http://www.economia.gob.svTel.: (+503) 2590 5788Email: datco@economia.gob.svConsejo Nacional de Calidad (National Quality Council)Organismo Salvadoreño de Reglamentación Técnica, OSARTEC (Salvadoran Technical Regulation Agency)Boulevard San Bartolo y Calle Lempa, costado Norte del INCAF, Edificio CNC, Distrito de Ilopango, San Salvador Este, El SalvadorWebsite: https://osartec.gob.sv/Tel.: (+503) 2590 5335; (+503) 2590 5338Email: consultasreglamento@osartec.gob.sv__________</t>
  </si>
  <si>
    <t>Farming and forestry in general (ICS code(s): 65.020.01)</t>
  </si>
  <si>
    <t>65.020.01 - Farming and forestry in general; 65.020.01 - Farming and forestry in general</t>
  </si>
  <si>
    <t>Protección de la Salud Humana.</t>
  </si>
  <si>
    <t>Parts and Accessories Necessary for Safe Operation; Certification and Labeling Requirements for Rear Impact Protection Guards</t>
  </si>
  <si>
    <t>The Federal Motor Carrier Safety Administration (FMCSA) amends the Federal Motor Carrier Safety Regulations (FMCSR) to rescind the requirement that the rear impact guard be permanently marked or labeled with a certification from the impact guard manufacturer as required by the applicable Federal Motor Vehicle Safety Standard (FMVSS) promulgated by the National Highway Traffic Safety Administration (NHTSA). The certification label or marking provides motor carriers purchasing new trailers or new impact guards to replace damaged devices with a means to determine whether the equipment is certified as meeting the FMVSS. However, the labeling or marking requirement has proven problematic for motor carriers when the label or marking becomes illegible or wears off during the service life of the trailer or guard. This final rule eliminates an unintended regulatory burden on motor carriers without compromising safety, as it does not affect the applicable FMVSS. The final rule also rescinds a guidance document pertaining to illegible, incomplete, or missing rear impact guard certification labels.Effective 23 March 2026.    _x000D_
Petitions for reconsideration of this final rule must be submitted to the FMCSA Administrator no later than 23 March 2026.91 Federal Register (FR) 7874, 19 February 2026; Title 49 Code of Federal Regulations (CFR) Part 393_x000D_
https://www.govinfo.gov/content/pkg/FR-2026-02-19/html/2026-03255.htm_x000D_
https://www.govinfo.gov/content/pkg/FR-2026-02-19/pdf/2026-03255.pdfThis final rule and the notice of proposed rulemaking notified as G/TBT/N/USA/1684/Rev.1 are identified by Docket Number FMCSA-2025-0107. The Docket Folder is available on Regulations.gov at https://www.regulations.gov/docket/FMCSA-2025-0107/document and provides access to primary documents as well as comments received. Documents are also accessible from Regulations.gov by searching the Docket Number. WTO Members and their stakeholders are asked to submit petitions for reconsideration to the USA TBT Enquiry Point by or before 4pmEastern Time on 23 March 2026. Comments received by the USA TBT Enquiry Point from WTO Members and their stakeholders will be shared with FMCSA and will also be submitted to the Docket on Regulations.gov if received by 23 March 2026.</t>
  </si>
  <si>
    <t>Motor vehicle rear impact protection guards; Crash protection and restraint systems (ICS code(s): 43.040.80); Commercial vehicles (ICS code(s): 43.080)</t>
  </si>
  <si>
    <t>43.020 - Road vehicles in general; 43.020 - Road vehicles in general; 43.040.80 - Crash protection and restraint systems; 43.080 - Commercial vehicles; 43.040.80 - Crash protection and restraint systems; 43.080 - Commercial vehicles</t>
  </si>
  <si>
    <r>
      <rPr>
        <sz val="11"/>
        <rFont val="Calibri"/>
      </rPr>
      <t>https://members.wto.org/crnattachments/2026/TBT/USA/final_measure/26_01012_00_e.pdf</t>
    </r>
  </si>
  <si>
    <t>Pesticides; Notice of Receipt of Requests To Voluntarily Cancel 
Certain Pesticide Registrations and/or Amend Registrations To Terminate 
Certain Uses With a 30-Day Comment Period </t>
  </si>
  <si>
    <t>This document announces the Agency's receipt of and solicits
comment on requests by registrants to voluntarily cancel their 
pesticide registration of certain products and/or to amend their 
product registrations to terminate one or more uses. In accordance with 
the Federal Insecticide, Fungicide, and Rodenticide Act (FIFRA), EPA 
provides a periodic notice of receipt addressing requests received by 
EPA since the last notice of receipt was issued and uses the month and 
year in the title to help distinguish one document from the other. EPA 
intends to grant these requests at the close of the comment period for 
this announcement unless the Agency receives substantive comments 
during the comment period that would merit further review of the 
requests, or the request is withdrawn by the registrant. If these 
requests are granted, EPA will issue an order in the Federal Register 
cancelling the listed product registrations, after which any sale, 
distribution, or use of the products listed in this document will only 
be permitted after the registrations have been cancelled if such sale, 
distribution, or use is consistent with the terms as described in the 
final order.</t>
  </si>
  <si>
    <t>Certain pesticide product registrations</t>
  </si>
  <si>
    <r>
      <rPr>
        <sz val="11"/>
        <rFont val="Calibri"/>
      </rPr>
      <t>https://www.govinfo.gov/content/pkg/FR-2026-02-19/html/2026-03248.htm</t>
    </r>
  </si>
  <si>
    <t>Eliminating Obsolete Marking Requirements for Toy, Look-Alike, 
and Imitation Firearms</t>
  </si>
  <si>
    <t>Final rule - By this rule, the National Institute of Standards and Technology (NIST) removes its regulation setting forth marking requirements for toy, look-alike, and imitation firearms. Pursuant to statutory amendments made by the CHIPS and Science Act of 2022, the subject regulation now lacks an underlying statutory authorization and has been rendered obsolete by the new, operative marking requirements issued by the Consumer Product Safety Commission (CPSC). The removal of the subject NIST regulation is therefore necessary to reflect the current state of the underlying law and to eliminate obsolete regulatory language. This action is intended to minimize the risk of public confusion regarding the applicable marking requirements and governing authority for toy, look-alike, and imitation firearms and to promote administrative efficiency.</t>
  </si>
  <si>
    <t>Toy, look-alike and imitation firearms; Tricycles, scooters, pedal cars and similar wheeled toys; dolls' carriages; dolls; other toys; reduced-size ("scale") models and similar recreational models, working or not; puzzles of all kinds. (HS code(s): 9503); Toys (ICS code(s): 97.200.50)</t>
  </si>
  <si>
    <t>9503 - Tricycles, scooters, pedal cars and similar wheeled toys; dolls' carriages; dolls; other toys; reduced-size ("scale") models and similar recreational models, working or not; puzzles of all kinds.</t>
  </si>
  <si>
    <t>97.200.50 - Toys</t>
  </si>
  <si>
    <r>
      <rPr>
        <sz val="11"/>
        <rFont val="Calibri"/>
      </rPr>
      <t>https://members.wto.org/crnattachments/2026/TBT/USA/26_01019_00_e.pdf</t>
    </r>
  </si>
  <si>
    <t xml:space="preserve">91 Federal Register (FR) 7824, 19 February 2026; Title 15 Code of Federal Regulations (CRF) Part 272_x000D_
https://www.govinfo.gov/content/pkg/FR-2026-02-19/html/2026-03307.htm_x000D_
https://www.govinfo.gov/content/pkg/FR-2026-02-19/pdf/2026-03307.pdfThis final rule is identified by Docket Number 260210-0043. The document details are available on Regulations.gov at https://www.regulations.gov/document/NIST_FRDOC_0001-0022. Documents are also accessible from Regulations.gov by searching the Docket Number. _x000D_
_x000D_
_x000D_
</t>
  </si>
  <si>
    <t>Proposal for a Regulation of the European Parliament and the Council on monitoring and controlling drug precursors and repealing Regulations (EC) No 273/2004 and (EC) No 111/2005EUR-Lex - 52025PC0747 - EN - EUR-Lex</t>
  </si>
  <si>
    <t>The new rules will implement Article 12 of the United Nations Convention against Illicit Traffic in Narcotic Drugs and Psychotropic Substances, adopted in Vienna on 19 December 1988. They will replace two existing Regulations (Regulation (EC) No 273/2004 on drug precursors for internal market and Regulation (EC) No 111/2005 on trade between EU Member States and third countries). The new rules will simplify and streamline the existing rules and will introduce a new category of precursors – designer precursors, with specific obligations attached for operators. Designer precursors are substances with no known legitimate uses except research and innovation, close chemical relatives of precursors with legitimate uses already placed under control. The trade and use of such precursors will be subject to a prior-notification or a licence, depending on the quantities needed or purpose of the transaction or use (research and innovation or other legitimate purpose). The new rules will also set the legal basis for a centralised electronic system which will support the digitisation of all formalities required therein.</t>
  </si>
  <si>
    <t>Drug precursors</t>
  </si>
  <si>
    <t>National security requirements (TBT); Harmonization (TBT); Reducing trade barriers and facilitating trade (TBT)</t>
  </si>
  <si>
    <t>the proposal is based on two general objectives: reducing the availability of drug precursors for the illicit manufacture of drugs and facilitate the legitimate trade and use of drug precursors. The proposal strikes a fair balance between the need to reinforce controls of drug precursors to avoid their diversion towards illicit channels and the need not to place an unreasonable burden on the chemical industry, including research and innovation.</t>
  </si>
  <si>
    <t>20 days after publication in the Official Journal of the European Union, with an application date deferred by at least two years.</t>
  </si>
  <si>
    <r>
      <rPr>
        <sz val="11"/>
        <rFont val="Calibri"/>
      </rPr>
      <t>https://members.wto.org/crnattachments/2026/TBT/EEC/26_01005_00_e.pdf
https://members.wto.org/crnattachments/2026/TBT/EEC/26_01005_01_e.pdf</t>
    </r>
  </si>
  <si>
    <t>Proposal of a Regulation of the European Parliament and the Council on controlling and monitoring of drug precursors and repealing Regulations (EC) No 273/2004 and (EC) No 111/2005, with 10 AnnexesImpact assessment supporting the proposal </t>
  </si>
  <si>
    <t>Draft Resolution 1355, 24 October 2025</t>
  </si>
  <si>
    <t>Draft Resolution 1355, 24 October 2025 - previously notified through  G/SPS/N/BRA/2429 - was adopted as Normative Instruction 422, 11 February 2026. The regulation amending the monograph of the active ingredient T59 - TANNINS on the Monograph List of Active Ingredients for Pesticides, Household Cleaning Products and Wood Preservatives, which was published by Normative Instruction 103 on 19 October 2021 in the Brazilian Official Gazette (DOU - Diário Oficial da União). The final text is available only in Portuguese and can be downloaded at: </t>
  </si>
  <si>
    <t>13 - ENVIRONMENT. HEALTH PROTECTION. SAFETY; 13 - Environment. Health protection. Safety</t>
  </si>
  <si>
    <t>Human health; Food safety; Human health; Food safety</t>
  </si>
  <si>
    <r>
      <rPr>
        <sz val="11"/>
        <rFont val="Calibri"/>
      </rPr>
      <t>https://members.wto.org/crnattachments/2026/SPS/BRA/26_01009_00_x.pdf
https://anvisalegis.datalegis.net/action/UrlPublicasAction.php?acao=abrirAtoPublico&amp;num_ato=00000422&amp;sgl_tipo=INM&amp;sgl_orgao=DC/ANVISA/MS&amp;vlr_ano=2026&amp;seq_ato=000&amp;cod_modulo=134&amp;cod_menu=1696</t>
    </r>
  </si>
  <si>
    <t>Draft Resolution 1354, 24 October 2025</t>
  </si>
  <si>
    <t>Draft Resolution 1354, 24 October 2025 - previously notified through  G/SPS/N/BRA/2425 - was adopted as Normative Instruction 423, 11 February 2026. The regulation included the active ingredient O24 - OCIMUM GRATISSIMUM on the Monograph List of Active Ingredients for Pesticides, Household Cleaning Products and Wood Preservatives, which was published by Normative Instruction 103 on 19 October 2021 in the Brazilian Official Gazette (DOU - Diário Oficialda União).The final text is available only in Portuguese and can be downloaded at: </t>
  </si>
  <si>
    <t>Food safety; Human health; Food safety; Human health</t>
  </si>
  <si>
    <r>
      <rPr>
        <sz val="11"/>
        <rFont val="Calibri"/>
      </rPr>
      <t>https://members.wto.org/crnattachments/2026/SPS/BRA/26_01008_00_x.pdf
https://anvisalegis.datalegis.net/action/UrlPublicasAction.php?acao=abrirAtoPublico&amp;num_ato=00000423&amp;sgl_tipo=INM&amp;sgl_orgao=DC/ANVISA/MS&amp;vlr_ano=2026&amp;seq_ato=000&amp;cod_modulo=134&amp;cod_menu=1696</t>
    </r>
  </si>
  <si>
    <t>Draft Resolution 1356, 24 October 2025</t>
  </si>
  <si>
    <t>Draft Resolution 1356, 24 October 2025 - previously notified through  G/SPS/N/BRA/2442 - was adopted as Normative Instruction 425, 11 February 2026. The regulation proposes the inclusion of the active ingredient E35 - Eucalyptus Globulus in the List of Active Ingredients of Pesticides, Sanitizing Disinfectants and Wood Preservatives, published through Normative Instruction - IN no. 103, of 19 October 2021.</t>
  </si>
  <si>
    <r>
      <rPr>
        <sz val="11"/>
        <rFont val="Calibri"/>
      </rPr>
      <t>https://members.wto.org/crnattachments/2026/SPS/BRA/26_01010_00_x.pdf
The final text is available only in Portuguese and can be downloaded at: 
https://anvisalegis.datalegis.net/action/UrlPublicasAction.php?acao=abrirAtoPublico&amp;num_ato=00000425&amp;sgl_tipo=INM&amp;sgl_orgao=DC/ANVISA/MS&amp;vlr_ano=2026&amp;seq_ato=000&amp;cod_modulo=134&amp;cod_menu=1696</t>
    </r>
  </si>
  <si>
    <t>Salvadoran Technical Regulation (RTS) No. 65.02.01:13: Maximum residue limits for chemical pesticides in fruit and vegetables for domestic production and importOn 22 December 2025 the Government of the Republic of El Salvador notified, in document G/SPS/N/SLV/109/Add.1, draft Salvadoran Technical Regulation (RTS) No. 65.02.01:13 on maximum residue limits for chemical pesticides in fruit and vegetables for domestic production and import. This text regulates pesticide and metabolite residues in fruit and vegetables by establishing Maximum Residue Limits (MRLs), based on the MRLs set by the Codex Alimentarius Commission, the US Environmental Protection Agency (EPA) and the European Union (Regulation (EC) No 396/2005 of the European Parliament and of the Council), so as to ensure that such residues pose no risk to human or animal health or to the environment.The purpose of this Addendum is to notify WTO Members that the content of this Salvadoran Technical Regulation has been updated, and they will therefore have a period of 30 days from the date of this notification to submit comments and observations.https://members.wto.org/crnattachments/2026/SPS/SLV/26_01001_00_s.pdf</t>
  </si>
  <si>
    <t>Código ICS: 65.020.01</t>
  </si>
  <si>
    <t>65.020.01 - Farming and forestry in general</t>
  </si>
  <si>
    <t>Protect humans from animal/plant pest or disease (SPS)</t>
  </si>
  <si>
    <t>Food safety; Human health; Maximum residue limits (MRLs); Modification of content/scope of regulation; Maximum residue limits (MRLs); Food safety; Pesticides; Human health</t>
  </si>
  <si>
    <r>
      <rPr>
        <sz val="11"/>
        <rFont val="Calibri"/>
      </rPr>
      <t>https://members.wto.org/crnattachments/2026/SPS/SLV/26_01001_00_s.pdf</t>
    </r>
  </si>
  <si>
    <t>Parts and Accessories Necessary for Safe Operation; Brakes on Portable Conveyors</t>
  </si>
  <si>
    <t>The Federal Motor Carrier Safety Administration (FMCSA) adds an exception for portable conveyors used in aggregate industry operations, and manufactured before 2010, from the requirement that each commercial motor vehicle (CMV) be equipped with brakes acting on all wheels, provided certain conditions are satisfied. This final rule responds to a petition for rulemaking from the Michigan Aggregates Association. The exception will provide relief from a regulatory requirement for certain portable conveyors without impacting safety.Effective 23 March 2026.    Petitions for reconsideration of this final rule must be submitted to the FMCSA Administrator no later than 23 March 2026.91 Federal Register (FR) 7887, 19 February 2026; Title 49 Code of Federal Regulations (CFR) Part 393_x000D_
https://www.govinfo.gov/content/pkg/FR-2026-02-19/html/2026-03256.htm_x000D_
https://www.govinfo.gov/content/pkg/FR-2026-02-19/pdf/2026-03256.pdfThis final rule and the notice of proposed rulemaking notified as G/TBT/N/USA/2212 are identified by Docket Number FMCSA-2025-0119. The Docket Folder is available on Regulations.gov at https://www.regulations.gov/docket/FMCSA-2025-0119/document and provides access to primary documents as well as comments received. Documents are also accessible from Regulations.gov by searching the Docket Number. WTO Members and their stakeholders are asked to submit petitions for reconsideration to the USA TBT Enquiry Point by or before 4pmEastern Time on 23 March 2026. Petitions for reconsideration received by the USA TBT Enquiry Point from WTO Members and their stakeholders will be shared with FMCSA and will also be submitted to the Docket on Regulations.gov if received by 23 March 2026.</t>
  </si>
  <si>
    <t>Brakes on portable conveyors; Braking systems (ICS code(s): 43.040.40); Commercial vehicles (ICS code(s): 43.080); Conveyors (ICS code(s): 53.040.10)</t>
  </si>
  <si>
    <t>43.040.40 - Braking systems; 43.080 - Commercial vehicles; 53.040.10 - Conveyors; 43.040.40 - Braking systems; 43.080 - Commercial vehicles; 53.040.10 - Conveyors</t>
  </si>
  <si>
    <r>
      <rPr>
        <sz val="11"/>
        <rFont val="Calibri"/>
      </rPr>
      <t>https://members.wto.org/crnattachments/2026/TBT/USA/final_measure/26_01016_00_e.pdf</t>
    </r>
  </si>
  <si>
    <t>Draft resolution 1313, 18 March 2025</t>
  </si>
  <si>
    <t>The Draft resolution 1313, 18 March 2025 - previously notified through G/TBT/N/BRA/1587 - which  establishes the requirements for transmission and management of the database on Unique Identification of Medical Devices - UDI, was adopted as  Normative Instruction - NI n°. 425, 13 February 2026. The final text is available only in Portuguese and can be downloaded at: https://anvisalegis.datalegis.net/action/UrlPublicasAction.php?acao=abrirAtoPublico&amp;num_ato=00000426&amp;sgl_tipo=INM&amp;sgl_orgao=DC/ANVISA/MS&amp;vlr_ano=2026&amp;seq_ato=000&amp;cod_modulo=134&amp;cod_menu=1696</t>
  </si>
  <si>
    <t>Medical equipment (ICS code(s): 11.040)</t>
  </si>
  <si>
    <t>11.040 - Medical equipment; 11.040 - Medical equipment</t>
  </si>
  <si>
    <t>The purpose of the draft regulation is to publicize the basic conditions for sending Unique Identification of Medical Devices data (mandatory acronym, UDI) and inform that the Agency's UDI database is capable of receiving such data.</t>
  </si>
  <si>
    <r>
      <rPr>
        <sz val="11"/>
        <rFont val="Calibri"/>
      </rPr>
      <t xml:space="preserve">
https://anvisalegis.datalegis.net/action/UrlPublicasAction.php?acao=abrirAtoPublico&amp;num_ato=00000426&amp;sgl_tipo=INM&amp;sgl_orgao=DC/ANVISA/MS&amp;vlr_ano=2026&amp;seq_ato=000&amp;cod_modulo=134&amp;cod_menu=1696</t>
    </r>
  </si>
  <si>
    <t>Draft Decisions of the Collegium of the Eurasian Economic Commission on Amendments to the Regulation on Common veterinary (sanitary and veterinary) requirements for goods subject to veterinary control (surveillance) and on Amendments to the Decision of the Commission of the Customs Union No. 607 of 7 April 2011</t>
  </si>
  <si>
    <t>The draft decisions amend the common veterinary (sanitary and veterinary) requirements of the Eurasian Economic Union by: introducing a requirement to certify the freedom of the territory of origin from Chronic Wasting Disease (CWD) for all imported animals of the deer (Cervidae) family; establishing veterinary requirements and the corresponding veterinary certificate for the importation of non-human primates intended for use as laboratory animals.</t>
  </si>
  <si>
    <r>
      <rPr>
        <sz val="11"/>
        <rFont val="Calibri"/>
      </rPr>
      <t>https://members.wto.org/crnattachments/2026/SPS/KGZ/26_00833_00_x.pdf
https://regulation.eaeunion.org/orv/3359/
https://regulation.eaeunion.org/orv/3358/</t>
    </r>
  </si>
  <si>
    <t>Petroleum-Equivalent Fuel Economy Calculation</t>
  </si>
  <si>
    <t>The Office of Critical Minerals and Energy Innovation (formerly the Office of Energy Efficiency and Renewable Energy) of the Department of Energy (DOE) has reviewed the petroleum-equivalency factor (PEF) for electric vehicles (EVs) used by the Environmental Protection Agency (EPA) in calculating light-duty vehicle manufacturers' compliance with the Department of Transportation's (DOT) Corporate Average Fuel Economy (CAFE) standards. DOE has determined that revisions to the PEF are necessary. DOE is first publishing a final rule that removes the fuel content factor (FCF) from the calculation of the PEF. Removal of the FCF is consistent with a United States Court of Appeals for the Eighth Circuit decision that held, among other things, that the inclusion of the FCF in the PEF calculation exceeded DOE's authority under the substantive statute. DOE will propose additional revisions to the PEF in a forthcoming notice of proposed rulemaking.The effective date of this interim final rule is 19 February 2026. DOE will accept comments, data, and information regarding this interim final rule no later than 23 March 2026.91 Federal Register (FR) 7810, 19 February 2026; Title 10 Code of Federal Regulations (CFR) Part 474_x000D_
https://www.govinfo.gov/content/pkg/FR-2026-02-19/html/2026-03300.htm_x000D_
https://www.govinfo.gov/content/pkg/FR-2026-02-19/pdf/2026-03300.pdfThis interim final rule; request for comments and the technical amendment notified as G/TBT/N/USA/1983/Add.3 are identified by Docket Number EERE-2025-VT-0073. The Docket Folder is available from Regulations.gov at https://www.regulations.gov/docket/EERE-2025-VT-0073/document and provides access to primary documents, supporting and related material as well as comments received. Documents are also accessible from Regulations.gov by searching the Docket Number. WTO Members and their stakeholders are asked to submit comments to the USA TBT Enquiry Point by or before 4pmEastern Time on 23 March 2026. Comments received by the USA TBT Enquiry Point from WTO Members and their stakeholders will be shared with DOE and will also be submitted to the Docket on Regulations.gov if received within the comment period.Other actions notified under the symbol G/TBT/N/USA/1983 are identified by Docket Number EERE-2021-VT-0033. The Docket Folder is available from Regulations.gov at https://www.regulations.gov/docket/EERE-2021-VT-0033/document and provides access to primary documents as well as comments received. Documents are also accessible from Regulations.gov by searching the Docket Number.  See also EERE-2023-VT-009</t>
  </si>
  <si>
    <t>Petroleum-equivalent fuel economy of electric vehicles; Product and company certification. Conformity assessment (ICS code(s): 03.120.20); Environmental protection (ICS code(s): 13.020); Electric road vehicles (ICS code(s): 43.120); Fuels (ICS code(s): 75.160)</t>
  </si>
  <si>
    <t>03.120.20 - Product and company certification. Conformity assessment; 03.120.20 - Product and company certification. Conformity assessment; 13.020 - Environmental protection; 13.020 - Environmental protection; 43.120 - Electric road vehicles; 43.120 - Electric road vehicles; 75.160 - Fuels; 75.160 - Fuels</t>
  </si>
  <si>
    <t>Protection of the environment (TBT); Quality requirements (TBT)</t>
  </si>
  <si>
    <r>
      <rPr>
        <sz val="11"/>
        <rFont val="Calibri"/>
      </rPr>
      <t>https://members.wto.org/crnattachments/2026/TBT/USA/modification/26_01013_00_e.pdf</t>
    </r>
  </si>
  <si>
    <t>Cancellation Order for Certain Pesticide Registrations and/or Amendments To Terminate Uses (from 20 November 2025 Notice)</t>
  </si>
  <si>
    <t>This notice announces EPA's order for the cancellations and/or amendments to terminate uses, voluntarily requested by the registrants and accepted by the Agency, pursuant to the Federal Insecticide, Fungicide, and Rodenticide Act (FIFRA). This cancellation order follows a 20 November 2025 Federal Register Notice of Receipt of Requests from the registrants listed in Table 3 of Unit II, to voluntarily cancel and/or amend to terminate uses of these product registrations. In the 20 November 2025 notice, EPA indicated that it would issue an order implementing the cancellations and/or amendments to terminate uses, unless the Agency received substantive comments within the 30-day comment period that would merit its further review of these requests, or unless the registrants withdrew their requests. The Agency did not receive any comments on the notice. Further, the registrants did not withdraw their requests. Accordingly, EPA hereby issues in this notice a cancellation order granting the requested cancellations and/or amendments to terminate uses. Any distribution, sale, or use of the products subject to this cancellation order is permitted only in accordance with the terms of this order, including any existing stocks provisions.</t>
  </si>
  <si>
    <r>
      <rPr>
        <sz val="11"/>
        <rFont val="Calibri"/>
      </rPr>
      <t>https://www.govinfo.gov/content/pkg/FR-2026-02-19/html/2026-03249.htm</t>
    </r>
  </si>
  <si>
    <t>Parts and Accessories Necessary for Safe Operation; License Plate Lamps</t>
  </si>
  <si>
    <t>The Federal Motor Carrier Safety Administration (FMCSA) amends the Federal Motor Carrier Safety Regulations 
(FMCSRs) to add an exception from the lamp and reflective device 
requirements for license plate lamps on the rear of truck tractors 
while towing a trailer. This amendment removes an unnecessary 
regulatory requirement without impacting safety.&gt;Effective 23 March 2026.&gt;_x000D_
Petitions for reconsideration of this final rule must be submitted 
to the FMCSA Administrator no later than 23 March 2026.91 Federal Register (FR) 7871, 19 February 2026; Title 49 Code of Federal Regulations (CFR) Part 393_x000D_
https://www.govinfo.gov/content/pkg/FR-2026-02-19/html/2026-03259.htm_x000D_
https://www.govinfo.gov/content/pkg/FR-2026-02-19/pdf/2026-03259.pdfThis final rule and the notice of proposed rulemaking notified as G/TBT/N/USA/2213 are identified by Docket Number FMCSA-2025-0122. The Docket Folder is available on Regulations.gov at https://www.regulations.gov/docket/FMCSA-2025-0122/document and provides access to primary documents as well as comments received. Documents are also accessible from Regulations.gov by searching the Docket Number. WTO Members and their stakeholders are asked to submit petitions for reconsideration to the USA TBT Enquiry Point by or before 4pmEastern Time on 23 March 2026. Petitions for reconsideration received by the USA TBT Enquiry Point from WTO Members and their stakeholders will be shared with FMCSA and will also be submitted to the Docket on Regulations.gov if received by 23 March 2026.</t>
  </si>
  <si>
    <t>License plate lamps; Lighting, signalling and warning devices (ICS code(s): 43.040.20); Trucks and trailers (ICS code(s): 43.080.10)</t>
  </si>
  <si>
    <t>43.040.20 - Lighting, signalling and warning devices; 43.080.10 - Trucks and trailers; 43.040.20 - Lighting, signalling and warning devices; 43.080.10 - Trucks and trailers</t>
  </si>
  <si>
    <r>
      <rPr>
        <sz val="11"/>
        <rFont val="Calibri"/>
      </rPr>
      <t>https://members.wto.org/crnattachments/2026/TBT/USA/final_measure/26_01017_00_e.pdf</t>
    </r>
  </si>
  <si>
    <t>Parts and Accessories Necessary for Safe Operation; Tire Load Markings</t>
  </si>
  <si>
    <t>The Federal Motor Carrier Safety Administration (FMCSA) amends the requirements for commercial motor vehicle 
(CMV) tires to clarify that the Federal Motor Carrier Safety 
Regulations (FMCSR) do not require tire load restriction markings on 
the sidewalls of the tires. This change eliminates confusion and 
clarifies the scope of FMCSA's authority regarding requirements for CMV 
tires.&gt;Effective 23 March 2026.&gt;_x000D_
Petitions for reconsideration of this final rule must be submitted 
to the FMCSA Administrator no later than 23 March 2026.91 Federal Register (FR) 7884, 19 February 2026; Title 49 Code of Federal Regulations (CFR) Part 393_x000D_
https://www.govinfo.gov/content/pkg/FR-2026-02-19/html/2026-03260.htm_x000D_
https://www.govinfo.gov/content/pkg/FR-2026-02-19/pdf/2026-03260.pdfThis final rule and the notice of proposed rulemaking notified as G/TBT/N/USA/2215 are identified by Docket Number FMCSA-2025-0123. The Docket Folder is available on Regulations.gov at https://www.regulations.gov/docket/FMCSA-2025-0123/document and provides access to primary documents as well as comments received. Documents are also accessible from Regulations.gov by searching the Docket Number. WTO Members and their stakeholders are asked to submit petitions for reconsideration to the USA TBT Enquiry Point by or before 4pmEastern Time on 23 March 2026. Petitions for reconsideration received by the USA TBT Enquiry Point from WTO Members and their stakeholders will be shared with FMCSA and will also be submitted to the Docket on Regulations.gov if received by 23 March 2026.</t>
  </si>
  <si>
    <t>Tire load restriction markings; Commercial vehicles (ICS code(s): 43.080); Road vehicle tyres (ICS code(s): 83.160.10)</t>
  </si>
  <si>
    <t>43.080 - Commercial vehicles; 83.160.10 - Road vehicle tyres; 43.080 - Commercial vehicles; 83.160.10 - Road vehicle tyres</t>
  </si>
  <si>
    <r>
      <rPr>
        <sz val="11"/>
        <rFont val="Calibri"/>
      </rPr>
      <t>https://members.wto.org/crnattachments/2026/TBT/USA/final_measure/26_01018_00_e.pdf</t>
    </r>
  </si>
  <si>
    <t>FDA Draft Circular on the Guidelines on the Classification of Deficiencies Observed during the Conduct of Inspection According to Risk, and the Procedure of Compliance of Food Business Operators to the Observed Deficiencies </t>
  </si>
  <si>
    <t>This Circular intends to provide guidelines on the observed deficiencies during inspection according to risk._x000D_
Specifically, it aims to:_x000D_
A. Classify the observations noted during inspection of FBOs according to the type of deficiency._x000D_
B. Provide guidance for FBOs on the classification of deficiencies observed by the FDA inspectorate during inspection._x000D_
C. Provide guidance for FBOs on the compliance to the observed deficiencies during inspection.</t>
  </si>
  <si>
    <t>Food technology (ICS code(s): 67)</t>
  </si>
  <si>
    <t>67.020 - Processes in the food industry; 67.050 - General methods of tests and analysis for food products; 67 - Food technology</t>
  </si>
  <si>
    <r>
      <rPr>
        <sz val="11"/>
        <rFont val="Calibri"/>
      </rPr>
      <t>https://members.wto.org/crnattachments/2026/TBT/PHL/26_01021_00_e.pdf</t>
    </r>
  </si>
  <si>
    <t>Parts and Accessories Necessary for Safe Operation; Fuel Tank Overfill Restriction</t>
  </si>
  <si>
    <t>The Federal Motor Carrier Safety Administration (FMCSA) removes the requirement in the Federal Motor Carrier Safety Regulations (FMCSR) that a liquid fuel tank manufactured on or after 1 January 1973, be designed and constructed so that it cannot be filled, in a normal filling operation, with a quantity of fuel that exceeds 95 percent of the tank's liquid capacity. This final rule responds to a petition for rulemaking from the Commercial Vehicle Safety Alliance (CVSA). The revision removes an unnecessary and outdated requirement from the FMCSRs.Effective 23 March 2026.    _x000D_
Petitions for reconsideration of this final rule must be submitted to the FMCSA Administrator no later than 23 March 2026.91 Federal Register (FR) 7880, 19 February 2026; Title 49 Code of Federal Regulations (CFR) Part 393_x000D_
https://www.govinfo.gov/content/pkg/FR-2026-02-19/html/2026-03265.htm_x000D_
https://www.govinfo.gov/content/pkg/FR-2026-02-19/pdf/2026-03265.pdfThis final rule and the notice of proposed rulemaking notified as G/TBT/N/USA/2210 are identified by Docket Number FMCSA-2025-0117. The Docket Folder is available on Regulations.gov at https://www.regulations.gov/docket/FMCSA-2025-0117/document and provides access to primary documents as well as comments received. Documents are also accessible from Regulations.gov by searching the Docket Number. WTO Members and their stakeholders are asked to submit petitions for reconsideration to the USA TBT Enquiry Point by or before 4pmEastern Time on 23 March 2026. Petitions for reconsideration received by the USA TBT Enquiry Point from WTO Members and their stakeholders will be shared with FMCSA and will also be submitted to the Docket on Regulations.gov if received by 23 March 2026.</t>
  </si>
  <si>
    <t>Motor vehicle fuel tank overfill restriction; Fuel systems (ICS code(s): 43.060.40); Commercial vehicles (ICS code(s): 43.080)</t>
  </si>
  <si>
    <t>43.060.40 - Fuel systems; 43.080 - Commercial vehicles; 43.060.40 - Fuel systems; 43.080 - Commercial vehicles</t>
  </si>
  <si>
    <r>
      <rPr>
        <sz val="11"/>
        <rFont val="Calibri"/>
      </rPr>
      <t>https://members.wto.org/crnattachments/2026/TBT/USA/final_measure/26_01014_00_e.pdf</t>
    </r>
  </si>
  <si>
    <t>The drafts complement the veterinary requirements of the EAEU by introducing confirmation of the well-being of the territory in part of chronic wasting disease (CWD) when importing animals of the deer family (Cervidae). They also set up veterinary requirements and a veterinary certificate form for non-human primates as laboratory animals.</t>
  </si>
  <si>
    <r>
      <rPr>
        <sz val="11"/>
        <rFont val="Calibri"/>
      </rPr>
      <t>https://members.wto.org/crnattachments/2026/SPS/RUS/26_01020_00_x.pdf
https://members.wto.org/crnattachments/2026/SPS/RUS/26_01020_01_x.pdf
https://regulation.eaeunion.org/orv/3358/
https://regulation.eaeunion.org/orv/3359/</t>
    </r>
  </si>
  <si>
    <t>Extension of Postponement of Effectiveness for Certain Provisions 
of Trichloroethylene (TCE); Regulation Under the Toxic Substances 
Control Act (TSCA)</t>
  </si>
  <si>
    <t>The Environmental Protection Agency (EPA or Agency) is extending the postponement of the effectiveness of certain regulatory provisions of the final rule entitled ''Trichloroethylene (TCE); Regulation Under the Toxic Substances Control Act (TSCA)'' (notified as G/TBT/N/USA/2062/Add.1) for an additional 90 days. Specifically, this postponement applies to the conditions imposed on the uses with TSCA section 6(g) exemptions.As of 17 February 2026, EPA further postpones until 18 May 2026, the conditions imposed on each of the TSCA section 6(g) exemptions, as described in this document, in the final rule published on 17 December 2024, at 89 FR 10256891 Federal Register (FR) 7401, 18 February 2026; Title 40 Code of Federal Regulations (CFR) Part 751_x000D_
https://www.govinfo.gov/content/pkg/FR-2026-02-18/html/2026-03155.htm_x000D_
https://www.govinfo.gov/content/pkg/FR-2026-02-18/pdf/2026-03155.pdfThis action and previous actions notified under the symbol G/TBT/N/USA/2062 are identified by Docket Number EPA-HQ-OPPT-2020-0642. The Docket Folder is available on Regulations.gov at https://www.regulations.gov/docket/EPA-HQ-OPPT-2020-0642/document and provides access to primary and supporting documents as well as comments received. Documents are also accessible from Regulations.gov by searching the Docket Number.</t>
  </si>
  <si>
    <t>Trichloroethylene; Environmental protection (ICS code(s): 13.020); Production in the chemical industry (ICS code(s): 71.020); Products of the chemical industry (ICS code(s): 71.100)</t>
  </si>
  <si>
    <t>13.020 - Environmental protection; 71.020 - Production in the chemical industry; 71.100 - Products of the chemical industry; 13.020 - Environmental protection; 71.020 - Production in the chemical industry; 71.100 - Products of the chemical industry</t>
  </si>
  <si>
    <r>
      <rPr>
        <sz val="11"/>
        <rFont val="Calibri"/>
      </rPr>
      <t>https://members.wto.org/crnattachments/2026/TBT/USA/26_00990_00_e.pdf</t>
    </r>
  </si>
  <si>
    <t>Revised Implementing Guidelines of the Philippine Transport Vehicles Fuel Economy Labeling Program on Registration Procedures and Compliance Mechanism (VFELP-IG on RPCM)</t>
  </si>
  <si>
    <t>The Implementing Guideline IG shall cover all road transport vehicles indicated under Section 5 of the VFELP Guidelines. This includes all road transport vehicles powered by internal combustion engine (ICE) and electric vehicles (EVs) with reference to Section 5 of the Electric Vehicle Industry Development Act – Implementing Rules and Regulations (EVIDA-IRR).</t>
  </si>
  <si>
    <t>43.020 - Road vehicles in general; 43.020 - Road vehicles in general</t>
  </si>
  <si>
    <t>One of the purposes of this VFELP-IG on FEL-RTV is to empower consumers by enabling them to see and compare the Fuel Economy Label’s information provided by vehicle manufacturers, importers, distributors, dealers and rebuilders. Hence, this will facilitate the selection of fuel-efficient transport vehicles, and realization of fuel savings that also translates to the reduction of greenhouse gas emissions.</t>
  </si>
  <si>
    <r>
      <rPr>
        <sz val="11"/>
        <rFont val="Calibri"/>
      </rPr>
      <t>https://members.wto.org/crnattachments/2026/TBT/PHL/final_measure/26_00994_00_e.pdf</t>
    </r>
  </si>
  <si>
    <t>The notified text establishes, as an emergency measure, mandatory phytosanitary requirements for the importation of coconut fibre originating in and coming from the Republic of India.</t>
  </si>
  <si>
    <t>The notified text establishes, as an emergency measure, mandatory phytosanitary requirements for the importation of coconut fibre (Cocos nucifera L.) originating in and coming from the Republic of India.</t>
  </si>
  <si>
    <t>Coconut fibre</t>
  </si>
  <si>
    <r>
      <rPr>
        <sz val="11"/>
        <rFont val="Calibri"/>
      </rPr>
      <t>https://members.wto.org/crnattachments/2026/SPS/PER/26_00991_00_s.pdf</t>
    </r>
  </si>
  <si>
    <t>Turkish Food Codex Regulation on the Methods of Sampling and Analysis for the Official Control of Perfluoroalkyl Substances in Certain Foodstuffs </t>
  </si>
  <si>
    <t>Turkish Food Codex Regulation on the Methods of Sampling and Analysis for the Official Control of Perfluoroalkyl Substances in Certain Foodstuffs (Regulation No: 2025/28), which was notified through G/TBT/N/TUR/225 (24 April 2025), was now adopted and published in the Official Gazette dated 21 October 2025 and numbered 33054.The Regulation concerns methods of sampling and analysis of the perfluoroalkyl substances in certain foodstuffs.</t>
  </si>
  <si>
    <t>Foodstuffs</t>
  </si>
  <si>
    <t>71.100 - Products of the chemical industry; 71.100 - Products of the chemical industry</t>
  </si>
  <si>
    <t>Food safety</t>
  </si>
  <si>
    <t>The Draft Resolution of the Cabinet of Ministers of Ukraine “On Amendments to the Resolutions of the Cabinet of Ministers of Ukraine of 4 June 2015 No. 374 and of 13 January 2016 No. 94”</t>
  </si>
  <si>
    <t>The draft Resolution proposes amendments to the List of Categories of Legally Controlled Measuring Equipment Subject to Periodic Inspection and Annex 1 to the Technical Regulation on Legally Controlled Measuring Equipment. _x000D_
The proposed amendments provide for the exclusion of certain categories of legally controlled measuring equipment, their streamlining (in particular, eliminating cases where certain equipment falls simultaneously within multiple categories), the update of the titles of specific categories of legally controlled measuring equipment and the types of activities (as defined in Part 1 of Article 3 of the Law on Metrology) in which such equipment is used._x000D_
Specifically, the draft Resolution proposes to exclude 12 categories of measuring equipment from the List of Categories of Legally Controlled Measuring Equipment Subject to Periodic Inspection, to clarify the titles of 12 categories of measuring equipment and the corresponding types of regulated activities in which the equipment is used, to exclude 11 categories of measuring equipment from Annex 1 to the Technical Regulation on Legally Controlled Measuring Equipment._x000D_
The amendments are intended to enhance legal clarity, ensure the consistent application of the regulatory framework, and eliminate inaccuracies identified during practical implementation. </t>
  </si>
  <si>
    <t>Measuring  equipment</t>
  </si>
  <si>
    <t>17.020 - Metrology and measurement in general</t>
  </si>
  <si>
    <t>Quality requirements (TBT); Harmonization (TBT)</t>
  </si>
  <si>
    <t>Metrology</t>
  </si>
  <si>
    <t xml:space="preserve">The Resolution will enter into force six months after its official publication.
</t>
  </si>
  <si>
    <r>
      <rPr>
        <sz val="11"/>
        <rFont val="Calibri"/>
      </rPr>
      <t>https://members.wto.org/crnattachments/2026/TBT/UKR/26_00979_00_x.pdf</t>
    </r>
  </si>
  <si>
    <t>Laws  of  Ukraine  “On  Metrology  and  Metrological  Activity” and "On  Technical  Regulations and Conformity Assesment Procedures";Resolution  of the  Cabinet  of Ministries of  Ukraine of 4 June 2015 No. 374 "On  Approving  the List of Categories of Legally Controlled Measuring  Equipment  Subject to Periodic Inspection";Resolution  of the  Cabinet  of Ministries  of  Ukraine of 13 January 2016 No. 94 "On  Approval of  the  Technical Regulation  of  Legally Controlled  Measuring  Equipment".</t>
  </si>
  <si>
    <t>Draft Amendment of the Official Specifications for Ordinary Fertilizers</t>
  </si>
  <si>
    <t>MAFF will amend the administerial rules for the official specifications of ordinary fertilizers as follows;1. The government of Japan will amend the standard for " Potassium Silicate Fertilizer".2. The government of Japan will amend the standard for " Coated Compound Fertilizer".With this amendment, two types of fertilizers will become eligible for import into Japan: (ⅰ) Potassium silicate fertilizer made from combustion ash containing biomass resources as raw materials　(ⅱ)Coated compound fertilizer coated with chemical fertilizers or liquid fertilizers with lower nitrogen content　When importing these fertilizers, prior registration with MAFF will be required, in the same manner as under the existing fertilizer import procedures in Japan.</t>
  </si>
  <si>
    <t>Fertilizer (HS: 3104, 3105)</t>
  </si>
  <si>
    <t>3104 - Mineral or chemical potassic fertilisers (excl. those in tablets or similar forms, or in packages with a gross weight of &lt;= 10 kg); 3105 - Mineral or chemical fertilisers containing two or three of the fertilising elements nitrogen, phosphorus and potassium; other fertilisers (excl. pure animal or vegetable fertilisers or mineral or chemical nitrogenous, phosphatic or potassic fertilisers); animal, vegetable, mineral or chemical fertilisers in tablets or similar forms or in packages of a gross weight of &lt;= 10 kg</t>
  </si>
  <si>
    <t>65.080 - Fertilizers</t>
  </si>
  <si>
    <t>Protection of human health or safety (TBT); Reducing trade barriers and facilitating trade (TBT); Other (TBT)</t>
  </si>
  <si>
    <t>To revise the administerial rules of Act on the Quality Control of Fertilizer for reflecting advancement of agricultural and scientific technology contributes to human health and promotes agricultural productivity.</t>
  </si>
  <si>
    <t>February 2026</t>
  </si>
  <si>
    <t>March 2026</t>
  </si>
  <si>
    <r>
      <rPr>
        <sz val="11"/>
        <rFont val="Calibri"/>
      </rPr>
      <t>https://members.wto.org/crnattachments/2026/TBT/JPN/26_00995_00_e.pdf</t>
    </r>
  </si>
  <si>
    <t>Act on the Quality Control of Fertilizer (1950 Law No.127).When the revision is adopted, relevant documents are to be publicised in the Official Gazette, "KAMPO" (Available in Japanese).</t>
  </si>
  <si>
    <t>Administrative updates to Australian Government edible meat and meat product sanitary and halal certificate templates used for exports from Australia</t>
  </si>
  <si>
    <t>Australia is replacing its current export documentation system, known as the Export Documentation System (EXDOC), with a new version called the Next Export Documentation System (NEXDOC). The change of system from EXDOC to NEXDOC will result in changes to official Australian Government export certificate templates for Australian agricultural goods.Australia’s export certification for edible meat and meat products such as meat, offal and meat products derived from cattle, buffalo, camels, goats, deer, sheep, pigs, horses and donkeys; wild game; rabbit; poultry and ratite (emu, ostrich) will soon transition to the NEXDOC system. This includes, where relevant, halal certification issued for halal meat and meat products.Australia has already transitioned a range of commodity specific export certification to the NEXDOC system including inedible animal products (October 2025), low-risk food items (May 2025), wool, skins and hides (November 2024), fish (September 2024), eggs (December 2023), honey (2022-2023), and dairy (May 2021).The planned changes do not affect bilaterally agreed information, conditions or attestations required by importing countries or the department’s regulatory controls over exports. However, there are minor changes to formatting and the location of some of this information on the export certificate template. Electronic certification (eCert) is not affected by the planned changes.The NEXDOC export certificate templates have unique Quick Response (QR) codes that provide consignment specific information border officials can use to confirm authenticity of the certificate in real-time. To verify the QR code, border officials scan the code through the official’s smart phone camera.Australia proposes NEXDOC export certificate and, where relevant, halal certificate templates will be issued for edible meat and meat products from 20 April 2026. There will be a transition period where both the EXDOC and NEXDOC certificate templates will be in use to allow for transit time (air and sea freight) to the port of destination.  </t>
  </si>
  <si>
    <t>Edible meat and meat products derived from cattle, buffalo, camels, goats, deer, sheep, pigs, horses and donkeys; wild game; rabbit; poultry and ratite (emu, ostrich).</t>
  </si>
  <si>
    <r>
      <rPr>
        <sz val="11"/>
        <rFont val="Calibri"/>
      </rPr>
      <t>https://www.agriculture.gov.au/biosecurity-trade/export/certification/nexdoc/transition</t>
    </r>
  </si>
  <si>
    <t>Nicaragua</t>
  </si>
  <si>
    <t>Resolution No. 118-2026-IPSA establishing phytosanitary requirements for the importation of Hieronyma alchorneoides seeds originating in Costa RicaIn the notification G/SPS/N/NIC/247 of 29 January 2026, the text in section 6 should read as follows:6. Description of content: The notified Resolution establishes phytosanitary requirements for the importation of Hieronyma alchorneoides seeds originating in Costa Rica.1. The shipment must be accompanied by an official phytosanitary certificate, which certifies that the seeds have been inspected by the national plant protection organization (NPPO) of the country of origin.2. The shipment must be free from soil and any foreign material or contaminants.3. The contents must be presented in new, first-use packaging, completely free of foreign material or contaminants.4.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documents.https://members.wto.org/crnattachments/2026/SPS/NIC/26_00980_00_s.pdf</t>
  </si>
  <si>
    <t>Hieronyma alchorneoides seeds</t>
  </si>
  <si>
    <t>Protect territory from other damage from pests (SPS)</t>
  </si>
  <si>
    <t>Territory protection; Territory protection</t>
  </si>
  <si>
    <r>
      <rPr>
        <sz val="11"/>
        <rFont val="Calibri"/>
      </rPr>
      <t>https://members.wto.org/crnattachments/2026/SPS/NIC/26_00980_00_s.pdf</t>
    </r>
  </si>
  <si>
    <t>Resolución No. 00001757 del 17 de febrero 2026 "Por la cual se suspende temporalmente la emisión de Documentos Zoosanitarios de Importación (DZI) para bovinos, bufalinos, productos y subproductos de riesgo susceptibles de transmitir la enfermedad de la Dermatosis Nodular Contagiosa, procedentes de la República Francesa, y se establecen otras disposiciones" (Resolution No. 00001757 of 17 February 2026, temporarily suspending the issuance of animal health import documents (DZI) for bovine and bubaline animals, products and by-products at risk of transmitting lumpy skin disease, coming from the French Republic, and enacting other provisions)</t>
  </si>
  <si>
    <t>The notified measure temporarily suspends the issuance of animal health import documents (DZI) for bovine and bubaline animals, products and by-products at risk of transmitting lumpy skin disease, coming from the French Republic. Moreover, it denies entry into the country for bovine and bubaline animals, products and by-products at risk of transmitting lumpy skin disease, coming from the French Republic, covered by animal health import documents issued by the Colombian Agricultural Institute (ICA) prior to the entry into force of this measure, that do not comply with the provisions of this Resolution.</t>
  </si>
  <si>
    <t>Bovine and bubaline animals, products and by-products at risk of transmitting lumpy skin disease</t>
  </si>
  <si>
    <r>
      <rPr>
        <sz val="11"/>
        <rFont val="Calibri"/>
      </rPr>
      <t>https://members.wto.org/crnattachments/2026/SPS/COL/26_01003_00_s.pdf
https://www.ica.gov.co/getattachment/457d88f3-993f-4b57-91a8-3cb6dbe59393/2026R00001757.aspx</t>
    </r>
  </si>
  <si>
    <t>Rescission of the Greenhouse Gas Endangerment Finding and Motor 
Vehicle Greenhouse Gas Emission Standards Under the Clean Air Act</t>
  </si>
  <si>
    <t>In this action, the U.S. Environmental Protection Agency (EPA) is rescinding the Administrator's 2009 findings of contribution and endangerment and repealing all greenhouse gas (GHG) emission standards for light-duty, medium-duty, and heavy-duty vehicles and engines to effectuate the best reading of Clean Air Act (CAA) section 202(a)(1). The EPA determines that CAA section 202(a)(1) does not authorize the Agency to prescribe emission standards in response to global climate change concerns for multiple reasons, including the best reading of the statutory terms ''air pollution,'' ''cause,'' ''contribute,'' and ''reasonably be anticipated to endanger.'' This statutory interpretation is corroborated by application of the major questions doctrine. The EPA further determines that GHG emission standards for new motor vehicles and engines do not impact in any material way the public health and welfare concerns identified in the Administrator's prior findings in 2009. On these multiple and independent bases, the EPA concludes that it lacks statutory authority to regulate GHG emissions in response to global climate change concerns under CAA section 202(a)(1), and is not finalizing the additional bases for repeal set out in the proposed rule.This final action is effective on 20 April 2026. The incorporation by reference of certain material listed in the action was approved by the Director of the Federal Register as of 27 March 2023, 17 June 2024, and 21 June 2024.91 Federal Register (FR) 7686, 18 February 2026; Title 40 Code of Federal Regulations (CFR) Parts 858660010361037, and 1039_x000D_
https://www.govinfo.gov/content/pkg/FR-2026-02-18/html/2026-03157.htm_x000D_
https://www.govinfo.gov/content/pkg/FR-2026-02-18/pdf/2026-03157.pdfThis final rule and previous actions notified under the symbol G/TBT/N/USA/2229 are identified by Docket Number EPA-HQ-OAR-2025-0194. The Docket Folder is available from Regulations.gov at https://www.regulations.gov/docket/EPA-HQ-OAR-2025-0194/document and provides access to primary and supporting documents as well as comments received. Documents are also accessible from Regulations.gov by searching the Docket Number. </t>
  </si>
  <si>
    <t>Motor vehicle greenhouse gas (GHG) emission standards; Road vehicle systems (ICS code(s): 43.040); Commercial vehicles (ICS code(s): 43.080); Passenger cars. Caravans and light trailers (ICS code(s): 43.100)</t>
  </si>
  <si>
    <t>43.040 - Road vehicle systems; 43.080 - Commercial vehicles; 43.100 - Passenger cars. Caravans and light trailers; 43.040 - Road vehicle systems; 43.080 - Commercial vehicles; 43.100 - Passenger cars. Caravans and light trailers</t>
  </si>
  <si>
    <r>
      <rPr>
        <sz val="11"/>
        <rFont val="Calibri"/>
      </rPr>
      <t>https://members.wto.org/crnattachments/2026/TBT/USA/final_measure/26_00989_00_e.pdf</t>
    </r>
  </si>
  <si>
    <t>Veterinary Health Certificate for Import of Gelatine Derived from the Bones or Skins of Bovine/Porcine (other than Wild/Feral) into India</t>
  </si>
  <si>
    <t>The veterinary health certificate for regulating the import of Gelatine derived from the Bones or Skins of Bovine/Porcine (other than wild/feral) into India was notified to WTO as document G/SPS/N/IND/332 dated 25 August, 2025. In order to facilitate the trade, the Veterinary Health Certificate for Import of Gelatine derived from the Bones or Skins of Bovine/Porcine (other than wild/feral) into India was adopted and published on 23 December 2025. The notified measure enters into force on 25 February 2026, six months from the date of circulation of the regular notification.  Text of final measure available from:https://dahd.gov.in/sites/default/files/2025-12/FinalVHCforImportofGelatine-23-12-2025.pdf</t>
  </si>
  <si>
    <t>Gelatine and products thereof</t>
  </si>
  <si>
    <t>350300 - Gelatin, whether or not in square or rectangular sheets, whether or not surface-worked or coloured, and gelatin derivatives; isinglass; other glues of animal origin (excl. those packaged as glue for retail sale and weighing net &lt;= 1 kg, and casein glues of heading 3501); 350300 - Gelatin, whether or not in square or rectangular sheets, whether or not surface-worked or coloured, and gelatin derivatives; isinglass; other glues of animal origin (excl. those packaged as glue for retail sale and weighing net &lt;= 1 kg, and casein glues of heading 3501)</t>
  </si>
  <si>
    <t>Adoption/publication/entry into force of reg.; Animal diseases; Animal health; Food safety; Human health; Animal diseases; Food safety; Animal health; Human health</t>
  </si>
  <si>
    <r>
      <rPr>
        <sz val="11"/>
        <rFont val="Calibri"/>
      </rPr>
      <t>https://members.wto.org/crnattachments/2026/SPS/IND/26_00972_00_e.pdf</t>
    </r>
  </si>
  <si>
    <t>Veterinary Health Certificate for Import of Ovine Meat and Ovine Meat Products into India</t>
  </si>
  <si>
    <t>The draft veterinary health certificate for regulating the import of Ovine Meat and Ovine Meat Products into India was notified to WTO as document G/SPS/N/IND/337 dated 14 October, 2025.  Considering the comments of stakeholders the content or scope of notified measures “Veterinary Health Certificate for Import of Ovine Meat and Ovine Meat Products into India” has been finalized and text is available on the website. https://dahd.gov.in/sites/default/files/2026-01/OM23Jan2026VHCforImportOfOvineMeatandOvineMeatProductsIntoIndia.pdfIn order to facilitate the trade, the Veterinary Health Certificate for Import of Ovine Meat and Ovine Meat Products into India was adopted and published on 23 January 2026. The notified measure enters into force on 14 April 2026, six months from the date of circulation of the regular notification. </t>
  </si>
  <si>
    <t>Lamb meat and lamb meat products thereof</t>
  </si>
  <si>
    <t>0204 - Meat of sheep or goats, fresh, chilled or frozen; 0204 - Meat of sheep or goats, fresh, chilled or frozen</t>
  </si>
  <si>
    <t>Adoption/publication/entry into force of reg.; Animal diseases; Animal health; Food safety; Human health; Modification of content/scope of regulation; Animal diseases; Food safety; Animal health; Human health</t>
  </si>
  <si>
    <r>
      <rPr>
        <sz val="11"/>
        <rFont val="Calibri"/>
      </rPr>
      <t>https://members.wto.org/crnattachments/2026/SPS/IND/26_00973_00_e.pdf</t>
    </r>
  </si>
  <si>
    <t>Changes to the Common Names for Ingredients and Components document</t>
  </si>
  <si>
    <t>Ingredients and components must be shown in the list of ingredients on food labels by their common names. For certain ingredients and components, there is an option to use a common name for the class of foods they belong to instead of their individual common names. The optional common names for certain classes of ingredients are set out in Table 2 of the Common Names for Ingredients and Components document, which is incorporated by reference in the Food and Drug Regulations (FDR). The Canadian Food Inspection Agency (CFIA) consulted on proposed changes to the ingredients or components that are allowed to use the common name "milk ingredients" or "modified milk ingredients" in the list of ingredients on a food label.  Following the WTO notification G/TBT/N/CAN/749 with a final date for comments ending on October 21, 2025, the proposed amendments to the document incorporated by reference titled “Common Names for Ingredients and Components” were adopted. They will be published and available to use on February 11, 2026 with a transition period ending on January 1, 2030. These changes include:revising the common name “modified milk ingredients” to “milk-derived ingredients” and “substance laitières modifiées” to “ingrédients dérivés du lait”the French common name from “substances laitières” to “ingrédients du lait” the ingredients or components that are allowed to use the common name “milk ingredients” and “modified milk ingredients.”During the transition period, regulated parties may comply with either the previous or new labelling requirements. </t>
  </si>
  <si>
    <t>Prepackaged food with milk ingredients and/or modified milk ingredients</t>
  </si>
  <si>
    <t>67.100 - Milk and milk products; 67.100 - Milk and milk products; 67.230 - Prepackaged and prepared foods; 67.230 - Prepackaged and prepared foods</t>
  </si>
  <si>
    <t>Existing optional common names for certain classes of ingredients and components are set out in the current Common Names for Ingredients and Components Document incorporated by reference into the Food and Drug Regulations. The proposed changes are intended to provide more precise information on which ingredients or components may use which common name. This should help companies apply these names more consistently in the list of ingredients. It should also help consumers because food labels will better reflect the nature of these ingredients and components.</t>
  </si>
  <si>
    <t>Ce projet de norme Burundaise spécifie les exigences, les méthodes d'échantillonnage et d’analyse pour Kombucha non alcoolisé ou Kombucha alcoolisé destiné à la consommation humaine.</t>
  </si>
  <si>
    <t>The notified draft Burundian standard specifies the requirements and sampling and analysis methods for alcoholic and non-alcoholic kombucha intended for human consumption.</t>
  </si>
  <si>
    <t>Non-alcoholic beverages (ICS code(s): 67.160.20)</t>
  </si>
  <si>
    <t>Consumer information, labelling (TBT); Protection of human health or safety (TBT); Quality requirements (TBT); Harmonization (TBT)</t>
  </si>
  <si>
    <r>
      <rPr>
        <sz val="11"/>
        <rFont val="Calibri"/>
      </rPr>
      <t>https://members.wto.org/crnattachments/2026/TBT/BDI/26_00909_00_f.pdf</t>
    </r>
  </si>
  <si>
    <t>1. NB EAS 12, Eau potable - Spécifications2. NB EAS 38, Étiquetage des aliments préemballés - Exigences générales3. NB EAS 104, Boissons alcoolisées - Méthodes d'échantillonnage et d'essai4. NB EAS 803, Étiquetage nutritionnel - ExigencesG/TBT/N/BDI/714- 2 - 5. NB EAS 805, Utilisation des allégations nutritionnelles et de santé - Exigences6. NB ISO 6561-2, Fruits, légumes et produits dérivés - Détermination de la teneur en cadmium, Partie 2: Méthode par spectrométrie d'absorption atomique avec flamme7. NB ISO 6579-1, Microbiologie de la chaîne alimentaire - Méthode horizontale pour la recherche, le dénombrement et le sérotypage des Salmonella, Partie 1: Recherche des Salmonella spp.8. NB ISO 6633, Fruits, légumes et produits dérivés - Détermination de la teneur en plomb - Méthode par spectrométrie d'absorption atomique sans flamme9. NB ISO 6634, Fruits, légumes et produits dérivés - Détermination de la teneur en arsenic - Méthode spectrophotométrique au diéthyldithiocarbamate d'argent10. NB ISO 6637, Fruits, légumes et produits dérivés - Détermination de la teneur en mercure - Méthode par absorption atomique sans flamme11. NB ISO 6888-1, Microbiologie de la chaîne alimentaire - Méthode horizontale pour le dénombrement des staphylocoques à coagulase positive (Staphylococcus aureus et autres espèces), Partie 1: Méthode utilisant le milieu gélosé de Baird-Parker12. NB ISO 16649-2, Microbiologie des aliments - Méthode horizontale pour le dénombrement des Escherichia coli bêta-glucuronidase positive, Partie 2: Technique de comptage des colonies à 44 degrés C au moyen de 5-bromo-4-chloro-3-indolyl bêta-D-glucuronate</t>
  </si>
  <si>
    <t>Pesticides used as baits for domestic rodents </t>
  </si>
  <si>
    <t>Pests; Plant health</t>
  </si>
  <si>
    <r>
      <rPr>
        <sz val="11"/>
        <rFont val="Calibri"/>
      </rPr>
      <t>https://members.wto.org/crnattachments/2026/SPS/SAU/26_00978_00_x.pdf</t>
    </r>
  </si>
  <si>
    <t>Publication ofBETS-6, Issue 3 – Technical Standards and Requirements for FM Broadcasting Transmitters</t>
  </si>
  <si>
    <t>Notice is hereby given that Innovation, Science and Economic Development Canada (ISED) has published the following document:Broadcasting Equipment Technical Standard BETS-6, issue 3, which establishes the technical standards and requirements for certification applicable to analog FM transmitters operating within the 88-108 MHz band.</t>
  </si>
  <si>
    <r>
      <rPr>
        <sz val="11"/>
        <rFont val="Calibri"/>
      </rPr>
      <t>https://ised-isde.canada.ca/site/spectrum-management-telecommunications/en/devices-and-equipment/broadcasting-equipment-standards/bets-6-technical-standards-and-requirements-fm-broadcasting-transmitters (English)
https://ised-isde.canada.ca/site/gestion-spectre-telecommunications/fr/dispositifs-materiel/normes-applicables-materiel-radiodiffusion/ntmr-6-normes-exigences-techniques-legard-emetteurs-radiodiffusion-fm (French) 
https://gazette.gc.ca/rp-pr/p1/2026/2026-02-14/html/notice-avis-eng.html#ne9 (English)
https://gazette.gc.ca/rp-pr/p1/2026/2026-02-14/html/notice-avis-fra.html#ne9 (French)</t>
    </r>
  </si>
  <si>
    <t>Commission Delegated amending Regulation (EU) 2024/1257 of the European Parliament and of the Council as regards setting out durability multipliers for gaseous pollutants of heavy-duty vehicles of categories M3, N2 and N3 </t>
  </si>
  <si>
    <t>Regulation (EU) 2024/1257 of the European Parliament and of the Council of 24 April 2024 on type-approval of motor vehicles and engines and of systems, components and separate technical units intended for such vehicles, with respect to their emissions and battery durability (Euro 7) introduces, inter alia, stricter lifetime requirements for the emission performance of vehicles, engines and pollution control systems and an ‘additional lifetime’ period that extends 25 per cent beyond the vehicle’s ‘main lifetime’. Durability multipliers are introduced in Annex IV Table 2 of the Euro 7 Regulation to account for the deterioration of emission reduction systems beyond the main lifetime. In accordance with Article 15(1)(f) of the Euro 7 Regulation, this initiative sets out durability multipliers of 1.2 for gaseous pollutants of heavy-duty vehicles of categories M3, N2 and N3 in Table 2 of Annex IV</t>
  </si>
  <si>
    <t>Trucks and buses (motor vehicles of categories M3, N2 and N3)</t>
  </si>
  <si>
    <t>43.080.10 - Trucks and trailers; 43.080.20 - Buses</t>
  </si>
  <si>
    <t>Regulation (EU) 2024/1257 requires vehicles to respect the emission limits not only during the ‘main lifetime’, but also during the ‘additional lifetime’. For the additional lifetime, durability multipliers are needed to account for the deterioration of emission reduction systems beyond the main lifetime. Based on a technical assessment recommending durability multipliers of 1.2 for heavy-duty vehicles of categories M3, N2 and N3, aligning with LDV and M2 standards, the proposal under consultation aims at setting out these durability multipliers to give clarity to heavy-duty vehicle manufacturers before the mandatory application date of the Euro 7 Regulation for these vehicles</t>
  </si>
  <si>
    <t>April 2026</t>
  </si>
  <si>
    <r>
      <rPr>
        <sz val="11"/>
        <rFont val="Calibri"/>
      </rPr>
      <t>https://members.wto.org/crnattachments/2026/TBT/EEC/26_00954_00_e.pdf
https://members.wto.org/crnattachments/2026/TBT/EEC/26_00954_01_e.pdf</t>
    </r>
  </si>
  <si>
    <t>Regulation (EU) 2024/1257 of the European Parliament and of the Council of 24 April 2024 on type-approval of motor vehicles and engines and of systems, components and separate technical units intended for such vehicles, with respect to their emissions and battery durability (Euro 7)https://eur-lex.europa.eu/eli/reg/2024/1257/oj/engEuropean Commission: Directorate-General for Internal Market, Industry, Entrepreneurship and SMEs, Plakolmer, B., Hausberger, S. and Weller, K., Durability of Euro 7 heavy-duty vehicle emissions – Technical report – LOT2, Publications Office of the European Union, 2025, https://data.europa.eu/doi/10.2873/7305552</t>
  </si>
  <si>
    <t>Resolución para regular la importación de semillas de Alfalfa (Medicago sativa) para siembra originarias del Reino de Países Bajos (Holanda) (Resolution governing the importation of alfalfa (Medicago sativa) seeds for sowing, originating in the Kingdom of the Netherlands (Holland))Costa Rica hereby advises of the entry into force of the phytosanitary measures notified in document G/SPS/N/CRI/344, adopted pursuant to Resolution No. 010-2026-CV-ARP-SFE of the State Phytosanitary Service, Plant Quarantine Department, Pest Risk Analysis Unit. The notified resolution establishes phytosanitary requirements for the importation of alfalfa (Medicago sativa) seeds for sowing, originating in the Kingdom of the Netherlands (Holland).https://members.wto.org/crnattachments/2026/SPS/CRI/26_00953_00_s.pdf</t>
  </si>
  <si>
    <t>Alfalfa seeds, for sowing (HS code: 120921)</t>
  </si>
  <si>
    <t>120921 - Alfalfa seed for sowing; 120921 - Alfalfa seed for sowing</t>
  </si>
  <si>
    <t>Territory protection; Pest- or Disease- free Regions / Regionalization; Plant health; Adoption/publication/entry into force of reg.; Plant health; Pest- or Disease- free Regions / Regionalization; Territory protection</t>
  </si>
  <si>
    <r>
      <rPr>
        <sz val="11"/>
        <rFont val="Calibri"/>
      </rPr>
      <t>https://members.wto.org/crnattachments/2026/SPS/CRI/26_00953_00_s.pdf</t>
    </r>
  </si>
  <si>
    <t>Proposed amendments to the Susceptible Species of Aquatic Animals List</t>
  </si>
  <si>
    <t>This communication serves to inform Members that the date of entry into force for G/SPS/N/CAN/1613 will be 16 February 2026.</t>
  </si>
  <si>
    <t>03 - FISH AND CRUSTACEANS, MOLLUSCS AND OTHER AQUATIC INVERTEBRATES; 03 - FISH AND CRUSTACEANS, MOLLUSCS AND OTHER AQUATIC INVERTEBRATES</t>
  </si>
  <si>
    <t>Adoption/publication/entry into force of reg.; Animal diseases; Animal health; Animal diseases; Animal health</t>
  </si>
  <si>
    <t>Resolución 00001311 del 9 de febrero de 2026, "Por medio de la cual se establecen los requisitos fitosanitarios para la importación a Colombia de esquejes (sin raíz) de mango (Mangifera indica L.) de origen y procedencia Estados Unidos, para uso comercial, ensayo y/o siembra" (Resolution No. 00001311 of 9 February 2026 establishing phytosanitary requirements for the importation into Colombia of unrooted cuttings of mango (Mangifera indica L.) originating in and coming from the United States, for commercial use, testing and/or planting)The Republic of Colombia hereby notifies the issuance of Resolution No. 00001311 of 9 February 2026 establishing phytosanitary requirements for the importation into Colombia of unrooted cuttings of mango (Mangifera indica L.) originating in and coming from the United States, for commercial use, testing and/or planting. The Resolution establishes phytosanitary requirements for the importation into Colombia of unrooted cuttings of mango (Mangifera indica L.) originating in and coming from the United States, for commercial use, testing and/or planting, and applies to all natural or legal persons importing these products.The Resolution was published in Official Journal No. 53.396 of 12 February 2026 and entered into force the same day.https://www.ica.gov.co/getattachment/1a0de5d6-0826-4354-ac22-d45d1fb93968/2026R00001311.aspxhttps://members.wto.org/crnattachments/2026/SPS/COL/26_00968_00_s.pdf</t>
  </si>
  <si>
    <t>Unrooted cuttings of mango (Mangifera indica L.) (HS code: 0602.10)</t>
  </si>
  <si>
    <t>060210 - Unrooted cuttings and slips; 060210 - Unrooted cuttings and slips</t>
  </si>
  <si>
    <r>
      <rPr>
        <sz val="11"/>
        <rFont val="Calibri"/>
      </rPr>
      <t>https://members.wto.org/crnattachments/2026/SPS/COL/26_00968_00_s.pdf
https://www.ica.gov.co/getattachment/1a0de5d6-0826-4354-ac22-d45d1fb93968/2026R00001311.aspx</t>
    </r>
  </si>
  <si>
    <t>Resolución No. 00001437 del 12 de febrero 2026 "Por la cual se suspende temporalmente la emisión de Documentos Zoosanitarios de Importación (DZI) para bovinos, bufalinos, productos y subproductos de riesgo susceptibles de transmitir la enfermedad de la Dermatosis Nodular Contagiosa, procedentes de la República Italiana, y se establecen otras disposiciones" (Resolution No. 00001437, of 12 February 2026, temporarily suspending the issuance of animal health import documents (DZI) for bovine and bubaline animals, products and by-products at risk of transmitting lumpy skin disease, coming from the Republic of Italy, and enacting other provisions)</t>
  </si>
  <si>
    <t>The notified measure temporarily suspends the issuance of animal health import documents (DZI) for bovine and bubaline animals, products and by-products at risk of transmitting lumpy skin disease, coming from the Republic of Italy. Moreover, it denies entry into the country for bovine and bubaline animals, products and by-products at risk of transmitting lumpy skin disease, coming from the Republic of Italy, covered by animal health import documents issued by the ICA prior to the entry into force of this Resolution, that do not comply with the provisions of this Resolution.</t>
  </si>
  <si>
    <t>Animal health; Animal diseases; Pest- or Disease- free Regions / Regionalization</t>
  </si>
  <si>
    <r>
      <rPr>
        <sz val="11"/>
        <rFont val="Calibri"/>
      </rPr>
      <t>https://members.wto.org/crnattachments/2026/SPS/COL/26_00966_00_s.pdf
https://www.ica.gov.co/getattachment/da907351-c3fb-49e7-a1d5-074bf74859d2/2025R00001437.aspx</t>
    </r>
  </si>
  <si>
    <t>Resolución para regular la importación de semillas de Alfalfa (Medicago sativa) para siembra originarias de Francia (Resolution governing the importation of alfalfa (Medicago sativa) seeds for sowing, originating in France)Costa Rica hereby advises of the entry into force of the phytosanitary measures notified in document G/SPS/N/CRI/345, adopted pursuant to Resolution No. 011-2026-CV-ARP-SFE of the State Phytosanitary Service, Plant Quarantine Department, Pest Risk Analysis Unit. The notified resolution establishes phytosanitary requirements for the importation of alfalfa (Medicago sativa) seeds for sowing, originating in France.https://members.wto.org/crnattachments/2026/SPS/CRI/26_00952_00_s.pdf</t>
  </si>
  <si>
    <r>
      <rPr>
        <sz val="11"/>
        <rFont val="Calibri"/>
      </rPr>
      <t>https://members.wto.org/crnattachments/2026/SPS/CRI/26_00952_00_s.pdf</t>
    </r>
  </si>
  <si>
    <t>Draft Commission Delegated Regulation amending and correcting Delegated Regulation (EU) 2020/692 supplementing Regulation (EU) 2016/429 of the European Parliament and of the Council as regards rules for entry into the Union, and the movement and handling after entry of consignments of certain animals, germinal products and products of animal origin (Text with EEA relevance) </t>
  </si>
  <si>
    <t>Commission Delegated Regulation (EU) 2020/692 supplements Regulation (EU) 2016/429 of the European Parliament and the Council as regards the animal health rules for entry into the Union and the movement and handling after entry of consignments of certain animals, germinal products and products of animal origin. Delegated Regulation (EU) 2020/692 applies from 21 April 2021. Since that date, that Delegated Regulation has been amended several times. Following these past amendments, some further minor errors have been detected in that Delegated Regulation. These mistakes and omissions should be corrected and changes introduced by amending Delegated Regulation (EU) 2020/692 accordingly. In addition, the experience gained on the application of that Delegated Regulation has shown the need to refine further several provisions related to the scope, application of specific conditions, animal identification, captive birds and their hatching eggs for conservation programmes, meat, dairy and egg products, eggs, composite products, vaccination programmes against highly pathogenic avian influenza, risk-mitigating treatments for milk and dairy products and egg products, aquatic and equine animals.</t>
  </si>
  <si>
    <t>Certain animals, germinal products and products of animal origin</t>
  </si>
  <si>
    <t>This Regulation shall enter into force on the twentieth day following that of its publication in the Official Journal of the European Union</t>
  </si>
  <si>
    <r>
      <rPr>
        <sz val="11"/>
        <rFont val="Calibri"/>
      </rPr>
      <t>https://members.wto.org/crnattachments/2026/SPS/EEC/26_00967_00_e.pdf
https://members.wto.org/crnattachments/2026/SPS/EEC/26_00967_01_e.pdf</t>
    </r>
  </si>
  <si>
    <t>Ministerial Order on Technical Requirements for Specified Products Concerning the Ministry of Economy, Trade and Industry</t>
  </si>
  <si>
    <t>In March 2026, the Order for Enforcement of the Consumer Product Safety Act(“Cabinet Order”) will be amended to newly designate bed guards for children and strollers as Specified Products and Specified Products for Children._x000D_
Following this designation, Japan proposes to revise the Ministerial Order on Technical Requirements for Specified Products Concerning the Ministry of Economy, Trade and Industry to establish the relevant technical requirements, labelling methods, classifications for product notification, and required cautionary statements for these products._x000D_
In addition, based on the latest revisions of JIS T 8133 for riding helmets, it will update the name of the JIS and adjust provisions related to vehicle classifications for motorized bicycles in accordance with Regulations for Enforcement of the Road Transport Vehicle Act 2024.</t>
  </si>
  <si>
    <t>Bed guards for children (barriers or other devices designed to be attached to beds primarily in households to prevent infants up to 60 months after birth from falling), and strollers (small wheeled vehicles designed to be pushed while walking, primarily by families, to transport infants up to 36 months after birth), and riding helmets (limited to those intended for use by riders of motorcycles, limited to those with an engine displacement of 0.125 liters or less or a rated output of 1.00 kilowatt or less, or motorized bicycles)</t>
  </si>
  <si>
    <t>April, 2026</t>
  </si>
  <si>
    <t>June, 2026
From the date of enforcement of the Cabinet Order, a transitional period of one year shall be provided for bed guards for children, and a transitional period of two years shall be provided for strollers.</t>
  </si>
  <si>
    <r>
      <rPr>
        <sz val="11"/>
        <rFont val="Calibri"/>
      </rPr>
      <t>https://members.wto.org/crnattachments/2026/TBT/JPN/26_00940_00_e.pdf</t>
    </r>
  </si>
  <si>
    <t>The Ministerial Order on Technical Requirements for Specified Products Concerning the Ministry of Economy, Trade and Industry. These revisions will appear in KAMPO (the Official Government Gazette) when adopted.The current laws and regulations are as follows:・Order for Enforcement of the Consumer Product Safety Act https://www.japaneselawtranslation.go.jp/en/laws/view/4179・Ministerial Order on Technical Requirements for Specified Products Concerning the Ministry of Economy, Trade and Industry_x000D_
https://laws.e-gov.go.jp/law/349M50000400018/20251225_507M60000400006 (In Japanese)</t>
  </si>
  <si>
    <t>Proposal for a DIRECTIVE OF THE EUROPEAN PARLIAMENT AND OF THE COUNCIL amending Directives 2001/18/EC and 2010/53/EU as regards the placing on the market of genetically modified micro-organisms and the processing of organs</t>
  </si>
  <si>
    <t>This proposal accompanies the Proposal for a  REGULATION OF THE EUROPEAN PARLIAMENT AND OF THE COUNCIL on establishing a framework of measures for strengthening Union’s biotechnology and biomanufacturing sectors particularly in the area of health and amending Regulations (EC) No 178/2002, (EC) No 1394/2007, (EU) No 536/2014, (EU) 2019/6, (EU) 2024/795 and (EU) 2024/1938, which establishes a legislative framework to strengthen the competitiveness of the health biotechnology sector.  For the new framework to operate effectively within the existing acquis, targeted updates are required in two pieces of sectoral legislation. Directive 2001/18/EC on the deliberate release into the environment of genetically modified organismsThe proposal amends Directive 2010/53/EU (organ processing) to expressly include processing alongside donation, testing, characterisation, procurement, transport and transplantation, and to clarify that where organs are used for research purposes,  the Directive applies only where they are intended for transplantation into the human body.  A new Article 6a is introduced to require transplantation centres to obtain prior authorisation from the competent authority before applying a processed organ to a recipient, oblige transplantation centres to perform a benefit–risk assessment of the processing </t>
  </si>
  <si>
    <t>11- Health care technology</t>
  </si>
  <si>
    <t>11 - Health care technology</t>
  </si>
  <si>
    <t>Protection of human health or safety (TBT); Quality requirements (TBT); Harmonization (TBT); Reducing trade barriers and facilitating trade (TBT); Cost saving and productivity enhancement (TBT)</t>
  </si>
  <si>
    <t>The Directive shall enter into force on the twentieth day following that of its publication in</t>
  </si>
  <si>
    <r>
      <rPr>
        <sz val="11"/>
        <rFont val="Calibri"/>
      </rPr>
      <t>https://members.wto.org/crnattachments/2026/TBT/EEC/26_00951_00_e.pdf</t>
    </r>
  </si>
  <si>
    <t>EUR-Lex - 52025PC1031 - EN - EUR-Lex</t>
  </si>
  <si>
    <t>Proposal for a  REGULATION OF THE EUROPEAN PARLIAMENT AND OF THE COUNCIL on establishing a framework of measures for strengthening Union’s biotechnology and biomanufacturing sectors particularly in the area of health and amending Regulations (EC) No 178/2002, (EC) No 1394/2007, (EU) No 536/2014, (EU) 2019/6, (EU) 2024/795 and (EU) 2024/1938</t>
  </si>
  <si>
    <t>The proposal consists of measures targeted to strengthen the competitiveness of the biotechnology, structured in the following chapters:Chapter I – Subject Matter, Scope and Definitions,sets out the subject matter of this proposal, which consists of measures that articulate its overall objective to improve the functioning of the internal market by establishing a framework to strengthen the competitiveness of the biotechnology sector and specifies the scope of the proposal, which applies to health biotechnology products and services during their entire lifecycle,Chapter II – Union health biotechnology and biomanufacturing,introduces the concepts of health biotechnology strategic projects and high impact health biotechnology strategic projects and establishes a framework for the recognition and the support of such projects aimed at strengthening the EU’s industrial biomanufacturing capacity and value chains.Chapter III – Access to funding,establishes an EU health biotechnology investment pilot in partnership with the European Investment Bank Group and other implementing partners.Chapter IV – Extension of the supplementary protection certificate,introduces an extension of 12 months of the Supplementary Protection Certificate (SPC) for medicinal products developed by means of biotechnology processes and for Advanced Therapy Medicinal Products.Chapter V - Enhancing competitiveness in biosimilars,supports EU competitiveness in the field of biosimilars by encouraging the development of EMA guidelines on facilitating the authorisation of biosimilar medicinal productsChapter VI – Artificial intelligence and data as biotechnology enablers,encourages the adoption and integration of AI in actions supporting biotechnology, to foster innovation, efficiency and technological sovereignty in biotechnology and biomanufacturing.Chapter VII – Regulatory tools for novel health biotechnology products,sets out a flexible, collaborative and anticipatory approach to regulate novel health biotechnology products by reinforcing and complementing existing mechanisms in Union law, Chapter VIII – Biodefence and preventing biotechnology misuse, establishes a framework for preventing the misuse of biotechnology products of concern. Chapter IX –  Amendments to Regulations (EC) No 178/2002, (EC) No 1394/2007, (EU) No 536/2014, (EU) 2019/6, (EU) 2024/795 and (EU) 2024/1938, introduces amendments to EU legislative frameworks in the areas of health and food and feed safety with the aim of simplifying procedures and accelerating time to market that are necessary to ensure the effectiveness of the substantive provisions established in this proposal by creating legislative frameworks conducive to innovation. Further, it establishes amendments to Regulation (EU) 2024/795 (STEP Regulation) regarding the status of health biotechnology strategic projects and of high impact health biotechnology strategic projects under that Regulation. Chapter X – Final provisions, contains provisions on (i) monitoring; (ii) delegation of power; (iii) committee procedure, (iv) an obligation for the Commission to prepare regular reports to the European Parliament and to the Council for the evaluation of this Regulation; (v) handling of confidential information, and entry into force and application. Annexes to the proposal:Annex I- Biotechnology Products of ConcernAnnex II- Amendments to Regulation (EU) 536/2014 Annex III- Amendments to Regulation (EU) 2019/6</t>
  </si>
  <si>
    <t>11.120 Pharmaceutics; 11.220 Veterinary medicines67-Food technology</t>
  </si>
  <si>
    <t>11.120 - Pharmaceutics; 11.220 - Veterinary medicine; 67 - Food technology</t>
  </si>
  <si>
    <t>National security requirements (TBT); 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</si>
  <si>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t>Human health; Animal health</t>
  </si>
  <si>
    <t>The Regulation shall enter into force on the twentieth day following that of its publication in the Official Journal of the European Union.</t>
  </si>
  <si>
    <r>
      <rPr>
        <sz val="11"/>
        <rFont val="Calibri"/>
      </rPr>
      <t>https://members.wto.org/crnattachments/2026/TBT/EEC/26_00950_00_e.pdf
https://members.wto.org/crnattachments/2026/TBT/EEC/26_00950_01_e.pdf</t>
    </r>
  </si>
  <si>
    <t>EUR-Lex - 52025PC1022 - EN - EUR-Lex</t>
  </si>
  <si>
    <t>Regulations make provision for the maximum levels of mycotoxins in foodstuffs inder the Department of Health in terms of the Foodstuffs, Cosmetics, and Disinfectants Act of 1972 (Act No. 54 of 1972).</t>
  </si>
  <si>
    <t>07 - Edible vegetables and certain roots and tubers; 04 - Dairy produce; birds' eggs; natural honey; edible products of animal origin, not elsewhere specified or included; 08 - Edible fruit and nuts; peel of citrus fruit or melons; 10 - Cereals; 11 - Products of the milling industry; malt; starches; inulin; wheat gluten; 12 - Oil seeds and oleaginous fruits; miscellaneous grains, seeds and fruit; industrial or medicinal plants; straw and fodder; 22 - Beverages, spirits and vinegar; 22 - Beverages, spirits and vinegar; 12 - Oil seeds and oleaginous fruits; miscellaneous grains, seeds and fruit; industrial or medicinal plants; straw and fodder; 11 - Products of the milling industry; malt; starches; inulin; wheat gluten; 07 - Edible vegetables and certain roots and tubers; 10 - Cereals; 08 - Edible fruit and nuts; peel of citrus fruit or melons; 04 - Dairy produce; birds' eggs; natural honey; edible products of animal origin, not elsewhere specified or included</t>
  </si>
  <si>
    <t>13 - ENVIRONMENT. HEALTH PROTECTION. SAFETY; 65 - AGRICULTURE; 67 - FOOD TECHNOLOGY; 13 - Environment. Health protection. Safety; 65 - Agriculture; 67 - Food technology</t>
  </si>
  <si>
    <t>Toxins; Mycotoxins; Human health; Food safety; Adoption/publication/entry into force of reg.; Toxins; Mycotoxins; Food safety; Human health</t>
  </si>
  <si>
    <r>
      <rPr>
        <sz val="11"/>
        <rFont val="Calibri"/>
      </rPr>
      <t xml:space="preserve">https://members.wto.org/crnattachments/2026/SPS/ZAF/26_00969_00_e.pdf
https://www.health.gov.za/wp-content/uploads/2026/02/Mycotoxins-Regulations-R.-7091-of-2026.pdf
</t>
    </r>
  </si>
  <si>
    <t>Hexythiazox; Pesticide Tolerances. Final Rule</t>
  </si>
  <si>
    <t>This regulation establishes a tolerance for residues of the 
insecticide hexythiazox and its metabolites in or on lemon/lime, 
subgroup 10-10B at 0.6 parts per million (ppm). </t>
  </si>
  <si>
    <t>Lemon/lime, 
subgroup 10-10B </t>
  </si>
  <si>
    <t>Maximum residue limits (MRLs); Food safety; Human health</t>
  </si>
  <si>
    <r>
      <rPr>
        <sz val="11"/>
        <rFont val="Calibri"/>
      </rPr>
      <t>https://members.wto.org/crnattachments/2026/SPS/USA/26_00926_00_e.pdf
https://members.wto.org/crnattachments/2026/SPS/USA/26_00926_01_e.pdf
https://members.wto.org/crnattachments/2026/SPS/USA/26_00926_02_e.pdf
https://members.wto.org/crnattachments/2026/SPS/USA/26_00926_03_e.pdf
https://www.govinfo.gov/content/pkg/FR-2026-02-13/html/2026-02916.htm</t>
    </r>
  </si>
  <si>
    <t>In making its tolerance decisions, EPA seeks to harmonize US tolerances with international standards whenever possible, consistent with US food safety standards and agricultural practices. EPA considers the international maximum residue limits (MRL) established by the Codex Alimentarius Commission (Codex), as required by FFDCA section 408(b)(4). The Codex Alimentarius is a joint United Nations Food and Agriculture Organization/World Health Organization food standards program, and it is recognized as an international food safety standards-setting organization in trade agreements to which the United States is a party. EPA may establish a tolerance that is different from a Codex MRL; however, FFDCA section 408(b)(4) requires that EPA explain the reasons for departing from the Codex level. 
There are Codex MRLs established for residues of hexythiazox in or on citrus fruit (group) at 0.5 ppm. The additional field trial data on lemon, and an updated OECD tolerance calculation supports a national tolerance for hexythiazox on lemon/lime, subgroup 10-10B at 0.6 ppm. Therefore, EPA is establishing a national tolerance for hexythiazox on lemon/lime, subgroup 10-10B at 0.6 ppm and is not harmonizing with Codex.</t>
  </si>
  <si>
    <t>Proyecto de Resolución Directoral para el establecimiento de requisitos fitosanitarios de necesario cumplimiento en la importación de planta in vitro de Prunus spp. de origen y procedencia Chile (Draft Directorial Resolution establishing mandatory phytosanitary requirements for the importation into Peru of in vitro Prunus spp. plants originating in and coming from Chile)</t>
  </si>
  <si>
    <t>The notified draft phytosanitary requirements for the importation into Peru of in vitro Prunus spp. plants originating in and coming from Chile are being submitted for public consultation, following the completion of the relevant pest risk analysis.</t>
  </si>
  <si>
    <t>In vitro Prunus spp. plants (HS code: 060290)</t>
  </si>
  <si>
    <t>060290 - Live plants, incl. their roots, and mushroom spawn (excl. bulbs, tubers, tuberous roots, corms, crowns and rhizomes, incl. chicory plants and roots, unrooted cuttings and slips, fruit and nut trees, rhododendrons, azaleas and roses)</t>
  </si>
  <si>
    <r>
      <rPr>
        <sz val="11"/>
        <rFont val="Calibri"/>
      </rPr>
      <t>https://members.wto.org/crnattachments/2026/SPS/PER/26_00919_00_s.pdf
El texto lo puede descargar de la página web del SENASA
 cuya ruta es la siguiente: https://www.gob.pe/institucion/senasa/campa%C3%B1as/4831-consulta-publica-de-importaciones-agricolas</t>
    </r>
  </si>
  <si>
    <t>Proposed GB MRLs for dithianon amending the GB MRL Statutory Register</t>
  </si>
  <si>
    <t>Dithianon is an approved substance in Great Britain. In line with the UK’s regulatory regime, The Health and Safety Executive (HSE) has carried out a review of the GB Maximum Residue Levels (MRLs) for dithianon.  Following assessment new MRLs are proposed for adoption: Citrus fruits (0.01* mg/kg), Apples (1 mg/kg), Pears (1 mg/kg), Apricots (2 mg/kg), Plums (2 mg/kg), Wine grapes (5 mg/kg), Raspberries (red and yellow) (0.01* mg/kg), Currants (red, black and white) (2 mg/kg), Hops (300 mg/kg). The Evaluation Report/Reasoned Opinion supporting the new MRLs is available at the following link: The review of the MRLs for apples and pears and CXLs for dithianon - proposed MRLs.docxThe assessment/reasoned opinion has concluded that the current GB MRLs for apples, pears, citrus fruits, raspberries (red and yellow), and currants (red, black and white) need to be lowered to satisfy the UK’s appropriate level of protection for these commodities. For apricots, plums, wine grapes, and hops, the current MRLs are being increased, in line with CXLs,for these commodities.  All the proposed MRLs result in consumer exposures below the toxicological reference values, and therefore harmful effects on human health are not expected.</t>
  </si>
  <si>
    <t>Citrus fruits (0110000), Apples (0130010), Pears (0130020), Apricots (0140010), Plums (0140040), Wine grapes (0151020), Raspberries (red and yellow) (0153030), Currants (red, black and white) (0154030), Hops (0700000) *For reference, the full list of GB commodity codes is set out in Part 1 of the GB pesticides Maximum Residue Level Statutory Register – see link</t>
  </si>
  <si>
    <t>Food safety; Maximum residue limits (MRLs); Human health</t>
  </si>
  <si>
    <r>
      <rPr>
        <sz val="11"/>
        <rFont val="Calibri"/>
      </rPr>
      <t>https://members.wto.org/crnattachments/2026/SPS/GBR/26_00920_00_e.pdf</t>
    </r>
  </si>
  <si>
    <t>Following review of the available evidence, HSE concluded that the CXLs for dithianon on apples, pears, citrus fruits, raspberries (red and yellow), and currants do not satisfy the UK’s appropriate level of protection.  
Details of the HSE’s assessment for dithianon can be found in the draft Reasoned Opinion.</t>
  </si>
  <si>
    <t>Proyecto de Resolución Directoral para el establecimiento de requisitos fitosanitarios de necesario cumplimiento en la importación de planta plantas de Orquídea (Phalaenopsis spp.) de origen y procedencia Brasil (Draft Directorial Resolution establishing mandatory phytosanitary requirements for the importation of orchid (Phalaenopsis spp.) plants originating in and coming from Brazil)</t>
  </si>
  <si>
    <t>The notified draft phytosanitary requirements for the importation into Peru of orchid (Phalaenopsis spp.) plants originating in and coming from Brazil are being submitted for public consultation, following the completion of the relevant pest risk analysis.</t>
  </si>
  <si>
    <t>Orchid (Phalaenopsis spp.) plants (HS code: 060290)</t>
  </si>
  <si>
    <r>
      <rPr>
        <sz val="11"/>
        <rFont val="Calibri"/>
      </rPr>
      <t>https://members.wto.org/crnattachments/2026/SPS/PER/26_00921_00_s.pdf
El texto lo puede descargar de la página web del SENASA
 cuya ruta es la siguiente: https://www.gob.pe/institucion/senasa/campa%C3%B1as/4831-consulta-publica-de-importaciones-agricolas</t>
    </r>
  </si>
  <si>
    <t>Revision of the Specifications and Standards for Foods, Food Additives, Etc. under the Food Sanitation Act (revision of agricultural chemical residue standards)</t>
  </si>
  <si>
    <t>Proposal of maximum residue limits (MRLs) for the following agricultural chemicalPesticide: Isocycloseram</t>
  </si>
  <si>
    <t>Meat and edible meat offal (HS codes: 02.01, 02.02, 02.03, 02.04, 02.05, 02.06, 02.08 and 02.09)Dairy produce and natural honey (HS codes: 04.01 and 04.09)Animal originated products (HS code: 05.04)Edible vegetables and certain roots and tubers (HS codes: 07.01, 07.02, 07.03, 07.04, 07.05, 07.06, 07.07, 07.09 and 07.10)Edible fruit and peel of citrus fruit (HS codes: 08.04, 08.05, 08.07, 08.08, 08.09, 08.10, 08.11, 08.13 and 08.14)Coffee, tea and spices (HS codes: 09.01, 09.02, 09.04, 09.05, 09.06, 09.07, 09.08, 09.09 and 09.10)Cereals (HS code: 10.05)Oil seeds and oleaginous fruits, miscellaneous grains, seeds and fruit (HS codes: 12.01 and 12.07)Animal fats and oils (HS codes: 15.01, 15.02 and 15.06)</t>
  </si>
  <si>
    <t>1506 - Other animal fats and oils and their fractions, whether or not refined, but not chemically modified.; 1501 - Pig fat, incl. lard, and poultry fat, rendered or otherwise extracted (excl. lard stearin and lard oil); 0203 - Meat of swine, fresh, chilled or frozen; 0204 - Meat of sheep or goats, fresh, chilled or frozen; 0205 - Meat of horses, asses, mules or hinnies, fresh, chilled or frozen.; 0206 - Edible offal of bovine animals, swine, sheep, goats, horses, asses, mules or hinnies,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0401 - Milk and cream, not concentrated nor containing added sugar or other sweetening matter; 0409 - Natural honey.; 0202 - Meat of bovine animals, frozen; 0504 - Guts, bladders and stomachs of animals (other than fish), whole and pieces thereof, fresh, chilled, frozen, salted, in brine, dried or smoked.; 0702 - Tomatoes, fresh or chilled.; 0703 - Onions, shallots, garlic, leeks and other alliaceous vegetables, fresh or chilled; 0704 - Cabbages, cauliflowers, kohlrabi, kale and similar edible brassicas, fresh or chilled; 0705 - Lettuce "Lactuca sativa" and chicory "Cichorium spp.", fresh or chilled; 0706 - Carrots, turnips, salad beetroot, salsify, celeriac, radishes and similar edible roots, fresh or chilled; 0707 - Cucumbers and gherkins, fresh or chilled.;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0710 - Vegetables, uncooked or cooked by steaming or boiling in water, frozen; 0701 - Potatoes, fresh or chilled; 1502 - Fats of bovine animals, sheep or goats (excl. oil and oleostearin); 0201 - Meat of bovine animals, fresh or chilled; 0807 - Melons, incl. watermelons, and papaws "papayas", fresh; 1207 - Other oil seeds and oleaginous fruits, whether or not broken (excl. edible nuts, olives, soya beans, groundnuts, copra, linseed, rape or colza seeds and sunflower seeds); 1201 - Soya beans, whether or not broken; 1005 - Maize or corn;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0909 - Seeds of anis, badian, fennel, coriander, cumin or caraway; juniper berries; 0908 - Nutmeg, mace and cardamoms; 0907 - Cloves, whole fruit, cloves and stems; 0906 - Cinnamon and cinnamon-tree flowers; 0805 - Citrus fruit, fresh or dried; 0905 - Vanilla; 0902 - Tea, whether or not flavoured; 0901 - Coffee, whether or not roasted or decaffeinated; coffee husks and skins; coffee substitutes containing coffee in any proportion; 0814 - Peel of citrus fruit or melons (including watermelons), fresh, frozen, dried or provisionally preserved in brine, in sulphur water or in other preservative solutions.; 0813 - Dried apricots, prunes, apples, peaches, pears, papaws "papayas", tamarinds and other edible fruits, and mixtures of edible and dried fruits or of edible nuts (excl. nuts, bananas, dates, figs, pineapples, avocados, guavas, mangoes, mangosteens, citrus fruit and grapes, unmixed); 0811 - Fruit and nuts, uncooked or cooked by steaming or boiling in water, frozen, whether or not containing added sugar or other sweetening matter;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0809 - Apricots, cherries, peaches incl. nectarines, plums and sloes, fresh; 0808 - Apples, pears and quinces, fresh; 0904 - Pepper of the genus Piper; dried or crushed or ground fruits of the genus Capsicum or of the genus Pimenta; 0804 - Dates, figs, pineapples, avocados, guavas, mangoes and mangosteens, fresh or dried</t>
  </si>
  <si>
    <t>In due course.</t>
  </si>
  <si>
    <t>These proposed standards will take effect after a certain period. </t>
  </si>
  <si>
    <r>
      <rPr>
        <sz val="11"/>
        <rFont val="Calibri"/>
      </rPr>
      <t>https://members.wto.org/crnattachments/2026/SPS/JPN/26_00942_00_e.pdf</t>
    </r>
  </si>
  <si>
    <t>Animal products of Cattle, Pig, Other terrestrial mammals, Chicken and Other poultry, including muscle, fat, liver, kidney, edible offal, milk and eggs: 
Regarding these products, MRLs are to be set lower than those of Codex MRLs. In our estimate, Codex MRLs for these products are miscalculated on residues of Isocycloseram, metabolite G【N-[2-amino-1-(hydroxymethyl)-2-oxo-ethyl]-4-[5-(3,5-dichloro-4-fluorophenyl)-5-(trifluoromethyl)-4H-isoxazol-3-yl]-2-methylbenzamide】 and metabolite H 【4-[5-(3,5-dichloro-4-fluorophenyl)-5-(trifluoromethyl)-4H-isoxazol-3-yl]-2-methyl-N-(3-oxoisoxazolidin-4-yl)benzamide】.  CAA recalculates these MRLs based on the residue of Isocycloseram, excluding metabolite G and metabolite H in line with the Codex residue definition: Isocycloseram.</t>
  </si>
  <si>
    <t>New GB MRLs for mefentrifluconazole amending the GB MRL Statutory Register</t>
  </si>
  <si>
    <t>Mefentrifluconazole is an approved active substance in Great Britain (GB). An application was received by the Health and Safety Executive to set new Maximum Residue Levels (MRLs) for various commodities (listed in section 3). Following assessment, new MRLs have been introduced to accommodate new authorizations of a plant protection product in GB and to set import tolerances. The new MRLs are all an increase from those previously in force.  The Evaluation Report/Reasoned Opinion supporting the new MRLs is available at the following link: The evaluation of new MRLs for Mefentrifluconazole in or on various commoditiesThe residue levels arising in food and feed from the notified uses result in consumer exposures below the toxicological reference values. As the residue levels exceed the current MRLs in force, new MRLs are being adopted.  </t>
  </si>
  <si>
    <t>Carrots (0213020), Celeriacs/turnip rooted celeries (0213030), Parsnips (0213060), Swedes/rutabagas (0213100), Turnips (0213110), Broccoli (0241010), Cauliflowers (0241020), Brussels sprouts (0242010), Head cabbages (0242020), Peas (without pods) (0260040), Lentils (0300020), Peas (0300030), Lupins/lupini beans (0300040), Others – pulses (0300990), Liver – swine (1011030), Edible offals (other than liver and kidney) – swine (1011050), Muscle – poultry (1016010), Fat – poultry (1016020), Liver – poultry (1016030), Edible offals (other than liver and kidney) – poultry (1016050), Chicken – eggs (1030010), Duck – eggs (1030020), Geese – eggs (1030030), Quail – eggs (1030040), Others – Birds’ eggs (1030990) *For reference, the full list of GB commodity codes is set out in Part 1 of the GB pesticides Maximum Residue Level Statutory Register – see link</t>
  </si>
  <si>
    <r>
      <rPr>
        <sz val="11"/>
        <rFont val="Calibri"/>
      </rPr>
      <t>https://members.wto.org/crnattachments/2026/SPS/GBR/26_00915_00_e.pdf</t>
    </r>
  </si>
  <si>
    <t>Following review of the available evidence, HSE concluded that a number of the CXLs for mefentrifluconazole do not satisfy the UK's appropriate level of protection. 
Details of HSE's assessment for mefentrifluconazole can be found in the Reasoned Opinion.</t>
  </si>
  <si>
    <t>Jordan</t>
  </si>
  <si>
    <t>DJS 241/2026 Cereals and pulses and their products ـــ Rice ـــ Specifications </t>
  </si>
  <si>
    <t>This Jordanian standard is concerned with the requirements to be met in the following types of rice varieties (Oryza sativa): husked rice, boiled or unboiled husk rice, milled rice (aromatic or non-aromatic), poached milled rice suitable for human consumption and this Jordanian standard does not apply to other rice products such as sticky waxy rice.</t>
  </si>
  <si>
    <t>Cereals, pulses and derived products (ICS code(s): 67.060)</t>
  </si>
  <si>
    <r>
      <rPr>
        <sz val="11"/>
        <rFont val="Calibri"/>
      </rPr>
      <t>https://jsmo.gov.jo/EBV4.0/Root_Storage/AR/%D8%B9_%D8%AA_%D8%A7%D9%84%D8%A7%D8%B1%D8%B2.pdf</t>
    </r>
  </si>
  <si>
    <t>ISO 7301/2021, Rice propertiesCodex Alimentarius Commission Specification 198/1995 Amendment 2019, RiceGulf Standard Specification 1016/2015 - Microbiological Limits for Commodities and Foodstuffs</t>
  </si>
  <si>
    <t>Afidopyropen; Pesticide Tolerances. Final Rule</t>
  </si>
  <si>
    <t>This regulation amends the current tolerance for residues of 
the insecticide afidopyropen in or on the food and feed commodities of 
raw agricultural commodity of strawberry by increasing it from 0.15 
parts per million (ppm) to 0.3 ppm and removes the established time-
limited tolerance in or on strawberry at 0.3 ppm. </t>
  </si>
  <si>
    <t>The food and feed commodities of 
raw agricultural commodity of strawberry</t>
  </si>
  <si>
    <r>
      <rPr>
        <sz val="11"/>
        <rFont val="Calibri"/>
      </rPr>
      <t>https://members.wto.org/crnattachments/2026/SPS/USA/26_00925_00_e.pdf
https://members.wto.org/crnattachments/2026/SPS/USA/26_00925_01_e.pdf
https://members.wto.org/crnattachments/2026/SPS/USA/26_00925_02_e.pdf
https://www.govinfo.gov/content/pkg/FR-2026-02-13/html/2026-02933.htm</t>
    </r>
  </si>
  <si>
    <t>In making its tolerance decisions, EPA seeks to harmonize US tolerances with international standards whenever possible, consistent with US food safety standards and agricultural practices. EPA considers the international maximum residue limits (MRLs) established by the Codex Alimentarius Commission (Codex), as required by FFDCA section 408(b)(4). The Codex Alimentarius is a joint United Nations Food and Agriculture Organization/World Health Organization food standards program, and it is recognized as an international food safety standards-setting organization in trade agreements to which the United States is a party. EPA may establish a tolerance that is different from a Codex MRL; however, FFDCA section 408(b)(4) requires that EPA explain the reasons for departing from the Codex level. The recommended tolerance for afidopyropen residues in/on strawberry were obtained using the Organization for Economic Co-operation and Development (OECD) maximum residue limit (MRL) calculation procedures. The recommended strawberry tolerance would change the harmonization status with Codex since Codex currently has an MRL for strawberry at the US existing tolerance level of 0.15 ppm. 
There are no Canadian MRLs established for residues of afidopyropen in/on strawberry.</t>
  </si>
  <si>
    <t>Proposal of maximum residue limits (MRLs) for the following agricultural chemicalPesticide: Phenmedipham</t>
  </si>
  <si>
    <t>Edible vegetables and certain roots and tubers (HS codes: 07.09 and 07.10)Oil seeds and oleaginous fruits, miscellaneous grains, seeds and fruit (HS code: 12.12)</t>
  </si>
  <si>
    <t>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0710 - Vegetables, uncooked or cooked by steaming or boiling in water, frozen;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t>
  </si>
  <si>
    <t>As soon as possible after the final date of the comment period.</t>
  </si>
  <si>
    <t>These proposed standards will take effect after a certain period of grace. </t>
  </si>
  <si>
    <r>
      <rPr>
        <sz val="11"/>
        <rFont val="Calibri"/>
      </rPr>
      <t>https://members.wto.org/crnattachments/2026/SPS/JPN/26_00944_00_e.pdf</t>
    </r>
  </si>
  <si>
    <t>GCC Technical Regulations for Vegetable Ghee and Ghee Blend</t>
  </si>
  <si>
    <t>This GSO standard covers vegetable ghee and blends of vegetable and animal ghee (fully hydrogenated and non-hydrogenated edible vegetable oils and their mixtures) intended for direct human consumption.</t>
  </si>
  <si>
    <t>Fruits. Vegetables (ICS code(s): 67.080)</t>
  </si>
  <si>
    <t>67.080 - Fruits. Vegetables</t>
  </si>
  <si>
    <t>Prevention of deceptive practices and consumer protection (TBT); Protection of human health or safety (TBT); Quality requirements (TBT); Harmonization (TBT)</t>
  </si>
  <si>
    <r>
      <rPr>
        <sz val="11"/>
        <rFont val="Calibri"/>
      </rPr>
      <t>https://members.wto.org/crnattachments/2026/TBT/ARE/26_00931_00_x.pdf
https://members.wto.org/crnattachments/2026/TBT/ARE/26_00931_00_e.pdf</t>
    </r>
  </si>
  <si>
    <t>Resolución 197 del 4 de febrero de 2026 del Ministerio de Salud y Protección Social "Por la cual se prohíbe en el territorio nacional la importación, fabricación, comercialización y uso del ingrediente activo bromuro de metilo, al igual que los productos plaguicidas que lo contengan" (Ministry of Health and Social Protection Resolution No. 197, of 4 February 2026, prohibiting, in the national territory, the importation, manufacture, marketing and use of the active ingredient methyl bromide, as well as pesticide products containing it)Colombia hereby notifies the issuance of Ministry of Health and Social Protection Resolution No. 197, of 4 February 2026, prohibiting, in the national territory, the importation, manufacture, marketing and use of the active ingredient methyl bromide, as well as pesticide products containing it. The purpose of the Resolution is to prohibit, in the national territory, the importation, manufacture, marketing and use of the active ingredient methyl bromide, as well as pesticide products containing it.This Resolution came into force on date of issue.https://www.minsalud.gov.co/Normatividad_Nuevo/Resolucion%20No%20197%20de%202026.pdfhttps://members.wto.org/crnattachments/2026/SPS/COL/26_00908_00_s.pdf</t>
  </si>
  <si>
    <t>Methyl bromide (bromomethane) (HS code: 290361); pesticide products containing methyl bromide (bromomethane) (HS code: 38089)</t>
  </si>
  <si>
    <t>290361 - Methyl bromide "bromomethane"; 38089 - - Other:; 38089 - - Other:; 290361 - Methyl bromide "bromomethane"</t>
  </si>
  <si>
    <t>Food safety (SPS); Plant protection (SPS)</t>
  </si>
  <si>
    <t>Food safety; Adoption/publication/entry into force of reg.; Human health; Food safety; Human health</t>
  </si>
  <si>
    <r>
      <rPr>
        <sz val="11"/>
        <rFont val="Calibri"/>
      </rPr>
      <t>https://members.wto.org/crnattachments/2026/SPS/COL/26_00908_00_s.pdf
https://www.minsalud.gov.co/Normatividad_Nuevo/Resolucion%20No%20197%20de%202026.pdf</t>
    </r>
  </si>
  <si>
    <t>Proposal of maximum residue limits (MRLs) for the following agricultural chemicalPesticide: Benzyladenine</t>
  </si>
  <si>
    <t>Natural honey (HS code: 04.09)Edible vegetables and certain roots and tubers (HS codes: 07.09 and 07.10)Edible fruit and peel of citrus fruit (HS codes: 08.05, 08.06, 08.07, 08.08, 08.11 and 08.14)Spices (HS codes: 09.04, 09.05, 09.06, 09.07, 09.08, 09.09 and 09.10)Oil seeds and oleaginous fruits, miscellaneous grains, seeds and fruit (HS code: 12.07)</t>
  </si>
  <si>
    <t>0409 - Natural honey.; 0909 - Seeds of anis, badian, fennel, coriander, cumin or caraway; juniper berries; 0908 - Nutmeg, mace and cardamoms; 0907 - Cloves, whole fruit, cloves and stems; 0906 - Cinnamon and cinnamon-tree flowers; 0905 - Vanilla; 0904 - Pepper of the genus Piper; dried or crushed or ground fruits of the genus Capsicum or of the genus Pimenta;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0814 - Peel of citrus fruit or melons (including watermelons), fresh, frozen, dried or provisionally preserved in brine, in sulphur water or in other preservative solutions.; 0808 - Apples, pears and quinces, fresh; 0807 - Melons, incl. watermelons, and papaws "papayas", fresh; 0806 - Grapes, fresh or dried; 0805 - Citrus fruit, fresh or dried; 0710 - Vegetables, uncooked or cooked by steaming or boiling in water, frozen;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0811 - Fruit and nuts, uncooked or cooked by steaming or boiling in water, frozen, whether or not containing added sugar or other sweetening matter; 1207 - Other oil seeds and oleaginous fruits, whether or not broken (excl. edible nuts, olives, soya beans, groundnuts, copra, linseed, rape or colza seeds and sunflower seeds)</t>
  </si>
  <si>
    <r>
      <rPr>
        <sz val="11"/>
        <rFont val="Calibri"/>
      </rPr>
      <t>https://members.wto.org/crnattachments/2026/SPS/JPN/26_00941_00_e.pdf</t>
    </r>
  </si>
  <si>
    <t>Proposal of maximum residue limits (MRLs) for the following agricultural chemicalPesticide:  Pyflubumide</t>
  </si>
  <si>
    <t>Natural honey (HS code: 04.09)Edible vegetables and certain roots and tubers (HS codes: 07.04, 07.07, 07.08, 07.09, 07.10 and 07.13)Edible fruit and peel of citrus fruit (HS codes: 08.04, 08.05, 08.06, 08.07, 08.08, 08.09, 08.10, 08.11 and 08.14)Tea, mate and spices (HS codes: 09.02, 09.03, 09.04, 09.05, 09.06, 09.07, 09.08, 09.09 and 09.10)Oil seeds and oleaginous fruits, miscellaneous grains, seeds and fruit (HS codes: 12.07 and 12.12)</t>
  </si>
  <si>
    <t>0704 - Cabbages, cauliflowers, kohlrabi, kale and similar edible brassicas, fresh or chilled; 0708 - Leguminous vegetables, shelled or unshelled, fresh or chilled; 1207 - Other oil seeds and oleaginous fruits, whether or not broken (excl. edible nuts, olives, soya beans, groundnuts, copra, linseed, rape or colza seeds and sunflower seeds);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0909 - Seeds of anis, badian, fennel, coriander, cumin or caraway; juniper berries; 0908 - Nutmeg, mace and cardamoms; 0907 - Cloves, whole fruit, cloves and stems; 0906 - Cinnamon and cinnamon-tree flowers; 0905 - Vanilla; 0904 - Pepper of the genus Piper; dried or crushed or ground fruits of the genus Capsicum or of the genus Pimenta; 0903 - Maté.; 0902 - Tea, whether or not flavoured; 0707 - Cucumbers and gherkins, fresh or chilled.; 0814 - Peel of citrus fruit or melons (including watermelons), fresh, frozen, dried or provisionally preserved in brine, in sulphur water or in other preservative solutions.;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0809 - Apricots, cherries, peaches incl. nectarines, plums and sloes, fresh; 0808 - Apples, pears and quinces, fresh; 0807 - Melons, incl. watermelons, and papaws "papayas", fresh; 0806 - Grapes, fresh or dried; 0805 - Citrus fruit, fresh or dried; 0804 - Dates, figs, pineapples, avocados, guavas, mangoes and mangosteens, fresh or dried; 0713 - Dried leguminous vegetables, shelled, whether or not skinned or split; 0710 - Vegetables, uncooked or cooked by steaming or boiling in water, frozen;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0811 - Fruit and nuts, uncooked or cooked by steaming or boiling in water, frozen, whether or not containing added sugar or other sweetening matter;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t>
  </si>
  <si>
    <r>
      <rPr>
        <sz val="11"/>
        <rFont val="Calibri"/>
      </rPr>
      <t>https://members.wto.org/crnattachments/2026/SPS/JPN/26_00945_00_e.pdf</t>
    </r>
  </si>
  <si>
    <t>Energy Conservation Program: Energy Conservation Standards for 
Metal Halide Lamp Fixtures</t>
  </si>
  <si>
    <t>The Energy Policy and Conservation Act, as amended (''EPCA''), prescribes energy conservation standards for various consumer products and certain commercial and industrial equipment, including metal halide lamp fixtures (''MHLFs''). EPCA also requires the U.S. Department of Energy (''DOE'') to periodically review its existing standards to determine whether more-stringent standards would be technologically feasible and economically justified and would result in significant energy savings. In this final determination, DOE has determined that more-stringent energy conservation standards for MHLFs would not be cost effective and, therefore, DOE does not need to amend its energy conservation standards for MHLFs.The effective date of this final determination is 16 March 2026.91 Federal Register (FR) 6737, 13 February 2026; Title 10 Code of Federal Regulations (CFR) Part 431_x000D_
https://www.govinfo.gov/content/pkg/FR-2026-02-13/html/2026-02935.htm_x000D_
https://www.govinfo.gov/content/pkg/FR-2026-02-13/pdf/2026-02935.pdfThis final determination is identified by Docket Number EERE-2022-BT-STD-0023. The Docket Folder is available on Regulations.gov at https://www.regulations.gov/docket/EERE-2022-BT-STD-0023/document and provides access to primary and supporting documents as well as comments received. Documents are also accessible from Regulations.gov by searching the Docket Number.Other actions notified under the symbol G/TBT/N/USA/517 are identified by Docket Numbers EERE-2009-BT-STD-0018EERE-2017-BT-STD-0016 and EERE-2022-BT-STD-0023 and provide access to primary and supporting documents as well as comments received.</t>
  </si>
  <si>
    <t>Metal halide lamp fixtures (ICS: 13.020, 29.140)</t>
  </si>
  <si>
    <t>13.020 - Environmental protection; 13.020 - Environmental protection; 29.140 - Lamps and related equipment; 29.140 - Lamps and related equipment</t>
  </si>
  <si>
    <t>Protection of human life.</t>
  </si>
  <si>
    <r>
      <rPr>
        <sz val="11"/>
        <rFont val="Calibri"/>
      </rPr>
      <t>https://members.wto.org/crnattachments/2026/TBT/USA/final_measure/26_00922_00_e.pdf</t>
    </r>
  </si>
  <si>
    <t>New GB MRLs for ametodactrin amending the GB MRL Statutory Register   </t>
  </si>
  <si>
    <t>Ametoctradin is an approved active substance in Great Britain (GB). An application was received by the Health and Safety Executive requesting to amend the existing Maximum Residue Level (MRL).  Following assessment, a new MRL for ametoctradin in honey has been introduced, raising it from 0.05* mg/kg to 5.00 mg/kg to support a new authorization of Plant Protection Products in GB. The Evaluation Report/Reasoned Opinion supporting the new MRL is available at the following link: The evaluation of a new MRL for ametoctradin in honeyThe residue levels arising in food from the notified uses result in consumer exposures below the toxicological reference values.  As the residue levels exceed the current MRL in force, a new MRL is being adopted.  There is no CXL for honey. </t>
  </si>
  <si>
    <r>
      <rPr>
        <sz val="11"/>
        <rFont val="Calibri"/>
      </rPr>
      <t>https://members.wto.org/crnattachments/2026/SPS/GBR/26_00912_00_e.pdf</t>
    </r>
  </si>
  <si>
    <t>Hazard Communication Standard; Corrections</t>
  </si>
  <si>
    <t xml:space="preserve">Sec.  1910.1200  Hazard communication. [Corrected] [squf] In rule document 2026-00147, appearing on pages 562 through 598 in the issue of Thursday, 8 January 2026 (notified as G/TBT/N/USA/1697/Add.4/Corr.2), make the following correction:    On page 572, below Table B.5.1, ''* * * * *'' should read: (1) The critical temperature is the temperature above which a pure gas cannot be liquefied, regardless of the degree of compression.Note: Aerosols and chemicals under pressure should not be classified as gases under pressure. See Appendix B.3 of this section.91 Federal Register (FR) 6760, 13 February 2026; Title 29 Code of Federal Regulations (CFR) Part 1910_x000D_
https://www.govinfo.gov/content/pkg/FR-2026-02-13/html/C1-2026-00147.htm_x000D_
https://www.govinfo.gov/content/pkg/FR-2026-02-13/pdf/C1-2026-00147.pdfThis and previous actions notified under the symbol G/TBT/N/USA/1697 are identified by Docket Number OSHA-2019-0001. The Docket Folder is available on Regulations.gov at https://www.regulations.gov/docket/OSHA-2019-0001/document and provides access to primary and supporting documents as well as comments received. Documents are also accessible from Regulations.gov by searching the Docket Number._x000D_
</t>
  </si>
  <si>
    <t>Chemicals</t>
  </si>
  <si>
    <t>29 - ORGANIC CHEMICALS; 29 - ORGANIC CHEMICALS; 29 - ORGANIC CHEMICALS</t>
  </si>
  <si>
    <t>13.020 - Environmental protection; 13.020 - Environmental protection; 13.020 - Environmental protection; 13.100 - Occupational safety. Industrial hygiene; 13.100 - Occupational safety. Industrial hygiene; 13.100 - Occupational safety. Industrial hygiene; 71.020 - Production in the chemical industry; 71.020 - Production in the chemical industry; 71.020 - Production in the chemical industry; 71.100 - Products of the chemical industry; 71.100 - Products of the chemical industry; 71.100 - Products of the chemical industry</t>
  </si>
  <si>
    <r>
      <rPr>
        <sz val="11"/>
        <rFont val="Calibri"/>
      </rPr>
      <t>https://members.wto.org/crnattachments/2026/TBT/USA/26_00924_00_e.pdf</t>
    </r>
  </si>
  <si>
    <t>Foodstuffs – Shelf lives for infant and young children’s foodstuffs </t>
  </si>
  <si>
    <t>This Jordanian Standard specifies the shelf life periods for various types of infant and young children’s foods.</t>
  </si>
  <si>
    <t>Milk and processed milk products (ICS code(s): 67.100.10); Prepackaged and prepared foods (ICS code(s): 67.230)</t>
  </si>
  <si>
    <t>67.100.10 - Milk and processed milk products; 67.230 - Prepackaged and prepared foods</t>
  </si>
  <si>
    <t>Prevention of deceptive practices and consumer protection (TBT); Protection of human health or safety (TBT); Harmonization (TBT); Reducing trade barriers and facilitating trade (TBT)</t>
  </si>
  <si>
    <r>
      <rPr>
        <sz val="11"/>
        <rFont val="Calibri"/>
      </rPr>
      <t>https://jsmo.gov.jo/EBV4.0/Root_Storage/AR/EB_UsefullLinks/%D9%85%D8%AF%D8%AF_%D8%B5%D9%84%D8%A7%D8%AD%D9%8A%D8%A9_%D8%A7%D8%BA%D8%AF%D9%8A%D8%A9_%D8%A7%D9%84%D8%A7%D8%B7%D9%81%D8%A7%D9%84_%D9%88%D8%A7%D9%84%D8%B1%D8%B6%D8%B9.pdf</t>
    </r>
  </si>
  <si>
    <t>Jordanian Standard JS 288: Foodstuffs  Shelf Life of Food Products.Gulf Standard GSO 150-1/2013: Food Labelling  Part 1: General Requirements for Prepackaged Food.</t>
  </si>
  <si>
    <t>0409 - Natural honey.</t>
  </si>
  <si>
    <r>
      <rPr>
        <sz val="11"/>
        <rFont val="Calibri"/>
      </rPr>
      <t>https://members.wto.org/crnattachments/2026/SPS/GBR/26_00913_00_e.pdf</t>
    </r>
  </si>
  <si>
    <t>Notice of Administration Order of Saudi Food and Drug Authority Ref. No. 27424 dated 18 December 2025 entitled “Temporary ban on importation of poultry meat, eggs and their products originating from Finistère, Landes and Loir-et-Cher in France”</t>
  </si>
  <si>
    <t>The Saudi Food and Drug Authority (SFDA) issued the Notice of Administration Order of Saudi Food and Drug Authority Ref. No. 27424 dated 18 December 2025 entitled “Temporary ban on importation of poultry meat, eggs and their products originating from Finistère, Landes and Loir-et-Cher in France”. The Saudi Food and Drug Authority (SFDA) has subsequently issued the Notice Administrative Order No. 35798 dated 16 February 2026, lifting the temporary ban on the importation of poultry meat, eggs and their products originating from Finistère, Landes and Loir-et-Cher in France, based on the WOAH report dated 6 February 2026, indicating that Finistère, Landes and Loir-et-Cher in France are free of Highly Pathogenic Avian Influenza Virus (HPAI).</t>
  </si>
  <si>
    <t>Human health; Food safety; Avian Influenza; Animal health; Animal diseases; Pest- or Disease- free Regions / Regionalization; Withdrawal of the measure; Zoonoses; Animal diseases; Animal health; Food safety; Human health; Zoonoses; Pest- or Disease- free Regions / Regionalization; Avian Influenza</t>
  </si>
  <si>
    <r>
      <rPr>
        <sz val="11"/>
        <rFont val="Calibri"/>
      </rPr>
      <t>https://members.wto.org/crnattachments/2026/SPS/SAU/26_00930_00_x.pdf</t>
    </r>
  </si>
  <si>
    <t>Proposal of maximum residue limits (MRLs) for the following agricultural chemicalPesticide:  Quizalofop-ethyl and Quizalofop-P-tefuryl</t>
  </si>
  <si>
    <t>Meat and edible meat offal (HS codes: 02.01, 02.02, 02.03, 02.04, 02.05, 02.06, 02.07, 02.08 and 02.09)Aquatic animals and crustaceans, molluscs and other aquatic invertebrates (HS codes: 03.02, 03.03, 03.04, 03.06, 03.07 and 03.08)Dairy produce, birds' eggs and natural honey (HS codes: 04.01, 04.07, 04.08 and 04.09)Animal originated products (HS code: 05.04)Edible vegetables and certain roots and tubers (HS codes: 07.01, 07.02, 07.03, 07.04, 07.06, 07.07, 07.08, 07.09, 07.10, 07.13 and 07.14)Edible fruit and peel of citrus fruit (HS codes: 08.04, 08.05, 08.06, 08.07, 08.08, 08.09, 08.10, 08.11 and 08.14)Tea, mate and spices (HS codes: 09.02, 09.03, 09.04, 09.05, 09.06, 09.07, 09.08, 09.09 and 09.10)Cereals (HS codes: 10.01, 10.03 and 10.08)Oil seeds and oleaginous fruits, miscellaneous grains, seeds and fruit (HS codes: 12.01, 12.02, 12.04, 12.05, 12.06, 12.07 and 12.12)Animal fats and oils (HS codes: 15.01, 15.02 and 15.06)</t>
  </si>
  <si>
    <t>1506 - Other animal fats and oils and their fractions, whether or not refined, but not chemically modified.; 1501 - Pig fat, incl. lard, and poultry fat, rendered or otherwise extracted (excl. lard stearin and lard oil); 0407 - Birds' eggs, in shell, fresh, preserved or cooked; 0408 - Birds' eggs, not in shell, and egg yolks, fresh, dried, cooked by steaming or by boiling in water, moulded, frozen or otherwise preserved, whether or not containing added sugar or other sweetening matter; 0409 - Natural honey.; 0504 - Guts, bladders and stomachs of animals (other than fish), whole and pieces thereof, fresh, chilled, frozen, salted, in brine, dried or smoked.; 0701 - Potatoes, fresh or chilled; 0702 - Tomatoes, fresh or chilled.; 0703 - Onions, shallots, garlic, leeks and other alliaceous vegetables, fresh or chilled; 0704 - Cabbages, cauliflowers, kohlrabi, kale and similar edible brassicas, fresh or chilled; 0706 - Carrots, turnips, salad beetroot, salsify, celeriac, radishes and similar edible roots, fresh or chilled; 0707 - Cucumbers and gherkins, fresh or chilled.; 0708 - Leguminous vegetables, shelled or unshelled, fresh or chilled;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0710 - Vegetables, uncooked or cooked by steaming or boiling in water, frozen; 0713 - Dried leguminous vegetables, shelled, whether or not skinned or split; 0714 - Roots and tubers of manioc, arrowroot, salep, Jerusalem artichokes, sweet potatoes and similar roots and tubers with high starch or inulin content, fresh, chilled, frozen or dried, whether or not sliced or in the form of pellets; sago pith; 0804 - Dates, figs, pineapples, avocados, guavas, mangoes and mangosteens, fresh or dried; 0805 - Citrus fruit, fresh or dried; 0806 - Grapes, fresh or dried; 0807 - Melons, incl. watermelons, and papaws "papayas", fresh; 0808 - Apples, pears and quinces, fresh; 0809 - Apricots, cherries, peaches incl. nectarines, plums and sloes, fresh;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0811 - Fruit and nuts, uncooked or cooked by steaming or boiling in water, frozen, whether or not containing added sugar or other sweetening matter; 0814 - Peel of citrus fruit or melons (including watermelons), fresh, frozen, dried or provisionally preserved in brine, in sulphur water or in other preservative solutions.; 0902 - Tea, whether or not flavoured; 0903 - Maté.; 0904 - Pepper of the genus Piper; dried or crushed or ground fruits of the genus Capsicum or of the genus Pimenta; 0401 - Milk and cream, not concentrated nor containing added sugar or other sweetening matter; 1502 - Fats of bovine animals, sheep or goats (excl. oil and oleostearin); 0308 - Aquatic invertebrates other than crustaceans and molluscs, live, fresh, chilled, frozen, dried, salted or in brine, even smoked; 0306 - Crustaceans, whether in shell or not, live, fresh, chilled, frozen, dried, salted or in brine, even smoked, incl. crustaceans in shell cooked by steaming or by boiling in water;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1207 - Other oil seeds and oleaginous fruits, whether or not broken (excl. edible nuts, olives, soya beans, groundnuts, copra, linseed, rape or colza seeds and sunflower seeds); 1206 - Sunflower seeds, whether or not broken.; 1205 - Rape or colza seeds, whether or not broken; 1204 - Linseed, whether or not broken.; 1202 - Groundnuts, whether or not shelled or broken (excl. roasted or otherwise cooked); 1201 - Soya beans, whether or not broken; 1008 - Buckwheat, millet, canary seed and other cereals (excl. wheat and meslin, rye, barley, oats, maize, rice and grain sorghum); 1003 - Barley; 1001 - Wheat and meslin;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0909 - Seeds of anis, badian, fennel, coriander, cumin or caraway; juniper berries; 0908 - Nutmeg, mace and cardamoms; 0907 - Cloves, whole fruit, cloves and stems; 0906 - Cinnamon and cinnamon-tree flowers; 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0302 - Fish, fresh or chilled (excl. fish fillets and other fish meat of heading 0304); 0303 - Frozen fish (excl. fish fillets and other fish meat of heading 0304); 0304 - Fish fillets and other fish meat, whether or not minced, fresh, chilled or frozen; 0307 - Molluscs, fit for human consumption, even smoked, whether in shell or not, live, fresh, chilled, frozen, dried, salted or in brine; 0905 - Vanilla</t>
  </si>
  <si>
    <t>Maximum residue limits (MRLs); Food safety</t>
  </si>
  <si>
    <r>
      <rPr>
        <sz val="11"/>
        <rFont val="Calibri"/>
      </rPr>
      <t>https://members.wto.org/crnattachments/2026/SPS/JPN/26_00946_00_e.pdf</t>
    </r>
  </si>
  <si>
    <t>Infants and young children foods – Processed cereal based foods for infant and young children </t>
  </si>
  <si>
    <t>Infants and young children foods –Processed cereal based foods for infant and young children.</t>
  </si>
  <si>
    <r>
      <rPr>
        <sz val="11"/>
        <rFont val="Calibri"/>
      </rPr>
      <t>https://jsmo.gov.jo/EBV4.0/Root_Storage/AR/EB_UsefullLinks/DJS_443-2025.pdf</t>
    </r>
  </si>
  <si>
    <t>Codex Alimentarius Standard No. 74/1981, amended in 2023: Standard for Processed Cereal-Based Foods for Infants and Young Children.Microorganisms in Foods, published by the International Commission on Microbiological Specifications for Foods (ICMSF), Volume 3.Saudi Standard SASO 1556-1/1998: Microbiological Limits for Food Commodities and Food Products  Part 1.</t>
  </si>
  <si>
    <t>Draft Government Decision approving the quality requirements for caseins and cazeinates intended for human consumption</t>
  </si>
  <si>
    <t>The draft Government Decision establishes the quality requirements for caseins and caseinates intended for human consumption, transposing into national legislation the provisions of Directive (EU) 2015/2203, including specifications regarding types of casein and caseinates, protein content, moisture, fat, impurities, and permitted additives. The act aims to protect consumer health, ensure product traceability, harmonize the legal framework with European standards, and facilitate international trade.</t>
  </si>
  <si>
    <t>Albuminoidal substances; modified starches; glues; enzymes (HS code(s): 35)Casein, caseinates, and other casein derivatives; casein glues (HS  code(s): 35 02)</t>
  </si>
  <si>
    <t>35 - ALBUMINOIDAL SUBSTANCES; MODIFIED STARCHES; GLUES; ENZYMES; 3502 - Albumins, incl. concentrates of two or more whey proteins containing by weight &gt; 80% whey proteins, calculated on the dry matter, albuminates and other albumin derivatives</t>
  </si>
  <si>
    <t>The Government Decision shall enter into force three months after its publication in the Official Monitor of the Republic of Moldova</t>
  </si>
  <si>
    <r>
      <rPr>
        <sz val="11"/>
        <rFont val="Calibri"/>
      </rPr>
      <t>https://members.wto.org/crnattachments/2026/SPS/MDA/26_00935_00_x.pdf
https://particip.gov.md/ro/document/stages/anunt-privind-organizarea-consultarilor-publice-pe-marginea-proiectului-hotararii-guvernului-pentru/15822</t>
    </r>
  </si>
  <si>
    <t>Energy Conservation Program: Energy Conservation Standards for Small Electric Motors</t>
  </si>
  <si>
    <t xml:space="preserve">The Energy Policy and Conservation Act, as amended (''EPCA''), prescribes energy conservation standards for various consumer products and certain commercial and industrial equipment, including small electric motors (''SEMs''). EPCA also requires the U.S. Department of Energy (''DOE'') to periodically determine whether more-stringent standards would be technologically feasible and economically justified, and would result in significant conservation of energy. In this final determination, DOE has determined that more-stringent energy conservation standards for SEMs would not be cost-effective and, therefore, DOE has determined that energy conservation standards for SEMs should not be amended.The effective date of this final determination is 16 March 2026.91 Federal Register (FR) 6743, 13 February 2026; Title 10 Code of Federal Regulations (CFR) Part 431_x000D_
https://www.govinfo.gov/content/pkg/FR-2026-02-13/html/2026-02936.htm_x000D_
https://www.govinfo.gov/content/pkg/FR-2026-02-13/pdf/2026-02936.pdf_x000D_
This final determination is identified by Docket Number EERE-2022-BT-STD-0014. The Docket Folder is available from Regulations.gov at https://www.regulations.gov/docket/EERE-2022-BT-STD-0014/document and provides access to primary and supporting documents as well as comments received. Documents are also accessible from Regulations.gov by searching the Docket Number. Other actions notified under the symbol G/TBT/N/USA/503 are identified by Docket Numbers EERE-2007-BT-STD-0007EERE-2019-BT-STD-0008 and EERE-2022-BT-STD-0014 and provide access to primary and supporting documents as well as comments received._x000D_
</t>
  </si>
  <si>
    <t>Small electric motors (ICS 13.020, 27.020)</t>
  </si>
  <si>
    <t>13.020 - Environmental protection; 13.020 - Environmental protection; 27.020 - Internal combustion engines; 27.020 - Internal combustion engines</t>
  </si>
  <si>
    <t>Protection of  the environment</t>
  </si>
  <si>
    <r>
      <rPr>
        <sz val="11"/>
        <rFont val="Calibri"/>
      </rPr>
      <t>https://members.wto.org/crnattachments/2026/TBT/USA/final_measure/26_00923_00_e.pdf</t>
    </r>
  </si>
  <si>
    <t>Proposal of maximum residue limits (MRLs) for the following agricultural chemicalPesticide/Veterinary drug:  Oxolinic acid</t>
  </si>
  <si>
    <t>Meat and edible meat offal (HS codes: 02.01, 02.02, 02.03, 02.06, 02.07 and 02.09)Aquatic animals and crustaceans (HS codes: 03.02, 03.03, 03.04 and 03.06)Natural honey (HS code: 04.09)Animal originated products (HS code: 05.04)Edible vegetables and certain roots and tubers (HS codes: 07.01, 07.03, 07.04, 07.05, 07.06, 07.09, 07.10 and 07.14)Edible fruit and peel of citrus fruit (HS codes: 08.05, 08.07, 08.08, 08.09, 08.11 and 08.14)Tea and spices (HS codes: 09.02, 09.04, 09.05, 09.06, 09.07, 09.08, 09.09 and 09.10)Cereals (HS codes: 10.05 and 10.06)Oil seeds and oleaginous fruits, miscellaneous grains, seeds and fruit (HS codes: 12.07 and 12.12)Animal fats and oils (HS codes: 15.01 and 15.02)</t>
  </si>
  <si>
    <t>0201 - Meat of bovine animals, fresh or chilled; 0203 - Meat of swine, fresh, chilled or frozen; 0809 - Apricots, cherries, peaches incl. nectarines, plums and sloes, fresh; 0811 - Fruit and nuts, uncooked or cooked by steaming or boiling in water, frozen, whether or not containing added sugar or other sweetening matter; 0814 - Peel of citrus fruit or melons (including watermelons), fresh, frozen, dried or provisionally preserved in brine, in sulphur water or in other preservative solutions.; 0902 - Tea, whether or not flavoured; 0904 - Pepper of the genus Piper; dried or crushed or ground fruits of the genus Capsicum or of the genus Pimenta; 0905 - Vanilla; 0906 - Cinnamon and cinnamon-tree flowers; 0808 - Apples, pears and quinces, fresh; 0907 - Cloves, whole fruit, cloves and stems; 0909 - Seeds of anis, badian, fennel, coriander, cumin or caraway; juniper berries;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1005 - Maize or corn; 1006 - Rice; 1207 - Other oil seeds and oleaginous fruits, whether or not broken (excl. edible nuts, olives, soya beans, groundnuts, copra, linseed, rape or colza seeds and sunflower seeds);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1501 - Pig fat, incl. lard, and poultry fat, rendered or otherwise extracted (excl. lard stearin and lard oil); 0908 - Nutmeg, mace and cardamoms; 0202 - Meat of bovine animals, frozen; 0807 - Melons, incl. watermelons, and papaws "papayas", fresh; 0714 - Roots and tubers of manioc, arrowroot, salep, Jerusalem artichokes, sweet potatoes and similar roots and tubers with high starch or inulin content, fresh, chilled, frozen or dried, whether or not sliced or in the form of pellets; sago pith; 0206 - Edible offal of bovine animals, swine, sheep, goats, horses, asses, mules or hinnies, fresh, chilled or frozen; 0207 - Meat and edible offal of fowls of the species Gallus domesticus, ducks, geese, turkeys and guinea fowls, fresh, chilled or frozen; 0209 - Pig fat, free of lean meat, and poultry fat, not rendered or otherwise extracted, fresh, chilled, frozen, salted, in brine, dried or smoked; 0302 - Fish, fresh or chilled (excl. fish fillets and other fish meat of heading 0304); 0303 - Frozen fish (excl. fish fillets and other fish meat of heading 0304); 0304 - Fish fillets and other fish meat, whether or not minced, fresh, chilled or frozen; 0306 - Crustaceans, whether in shell or not, live, fresh, chilled, frozen, dried, salted or in brine, even smoked, incl. crustaceans in shell cooked by steaming or by boiling in water; 0805 - Citrus fruit, fresh or dried; 0409 - Natural honey.; 0701 - Potatoes, fresh or chilled; 0703 - Onions, shallots, garlic, leeks and other alliaceous vegetables, fresh or chilled; 0704 - Cabbages, cauliflowers, kohlrabi, kale and similar edible brassicas, fresh or chilled; 0705 - Lettuce "Lactuca sativa" and chicory "Cichorium spp.", fresh or chilled; 0706 - Carrots, turnips, salad beetroot, salsify, celeriac, radishes and similar edible roots, fresh or chilled;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0710 - Vegetables, uncooked or cooked by steaming or boiling in water, frozen; 0504 - Guts, bladders and stomachs of animals (other than fish), whole and pieces thereof, fresh, chilled, frozen, salted, in brine, dried or smoked.; 1502 - Fats of bovine animals, sheep or goats (excl. oil and oleostearin)</t>
  </si>
  <si>
    <r>
      <rPr>
        <sz val="11"/>
        <rFont val="Calibri"/>
      </rPr>
      <t>https://members.wto.org/crnattachments/2026/SPS/JPN/26_00943_00_e.pdf</t>
    </r>
  </si>
  <si>
    <t>Draft partial amendment of the Enforcement Decree of the Act on Registration and Evaluation of Chemical Substances</t>
  </si>
  <si>
    <t>Name of Law: “Draft partial amendment of the Enforcement Decree of the Act on Registration and Evaluation of Chemical Substances”Major Contents: A. Clarification of the scope of duties of only representative appointed by foreign manufacturer/producer, and the Chemical Substance Information Processing System [Article 21 &amp; Article 22 of the amended Enforcement Decree]- The amendment adds the matters regarding dispute conciliation for joint data submission or joint data use to prepare registration dossier and the matters regarding deferral of data submission in registration dossier, to the duties of only representative appointed by foreign manufacturer/producer and the work scope of the Chemical Substance Information Processing System.B. Expanded scope of SMEs support program [Article 29-2 of the amended Enforcement Decree]- The amendment adds the activities to reduce use of highly hazardous chemical substances in small- and medium-sized enterprises.C. Rearrangement of delegation and entrustment systems for administrative works of dispute conciliation, and succession of duties of only representative appointed by foreign manufacturer/producer [Article 31 of the amended Enforcement Decree]</t>
  </si>
  <si>
    <t>Chemical Substances</t>
  </si>
  <si>
    <t>Reducing trade barriers and facilitating trade (TBT)</t>
  </si>
  <si>
    <r>
      <rPr>
        <sz val="11"/>
        <rFont val="Calibri"/>
      </rPr>
      <t>https://members.wto.org/crnattachments/2026/TBT/KOR/26_00900_00_x.pdf</t>
    </r>
  </si>
  <si>
    <t>MCEE Public Notice No. 2026-114</t>
  </si>
  <si>
    <t>Proyecto de Norma Oficial Mexicana PROY-NOM-011-SICT2/2025, Condiciones para el transporte de mercancías peligrosas embaladas/envasadas en cantidades limitadas.</t>
  </si>
  <si>
    <t>The notified draft Mexican Official Standard establishes the specifications to be applied to the transport of certain categories of dangerous goods packed in limited quantities, and is mandatory for shippers, carriers and recipients of dangerous goods packed in limited quantities that are transported via roads and bridges under federal jurisdiction.</t>
  </si>
  <si>
    <t>El transporte de ciertas clases de mercancías peligrosas embaladas/envasadas en cantidades limitadas.</t>
  </si>
  <si>
    <t>03.220 - Transport; 13.300 - Protection against dangerous goods</t>
  </si>
  <si>
    <r>
      <rPr>
        <sz val="11"/>
        <rFont val="Calibri"/>
      </rPr>
      <t>https://members.wto.org/crnattachments/2026/TBT/MEX/26_00898_00_s.pdf
https://www.dof.gob.mx/nota_detalle.php?codigo=5779726&amp;fecha=10/02/2026#gsc.tab=0</t>
    </r>
  </si>
  <si>
    <t>G/TBT/N/MEX/558- 2 - The following existing Mexican Official Standards, or those replacing them, and international regulations must be consulted in order to correctly implement the notified draft Mexican Official Standard:• NOM-002-SCT-SEMAR-ARTF/2023, Listado de substancias y materiales peligrosos (mercancías peligrosas).• NOM-002-1-SCT-SEMAR-ARTF/2023, Listado de substancias y materiales peligrosos (mercancías peligrosas)-Instrucciones y uso de embalajes/envases, recipientes intermedios para graneles (RIG), grandes embalajes/envases, cisternas portátiles, contenedores de gas de elementos múltiples y contenedores para graneles para el transporte de mercancías peligrosas.• NOM-003-SCT/2008, Características de las etiquetas de envases y embalajes, destinadas al transporte de substancias, materiales y residuos peligrosos.• NOM-007-SCT-2-2022, Disposiciones relativas a la construcción, marcado UN y ensayo de embalajes/envases, recipientes intermedios para graneles (RIG) y grandes embalajes/envases destinados al transporte de mercancías peligrosas.• NOM-009-SCT2/2009, Especificaciones especiales y de compatibilidad para almacenamiento y transporte de las substancias, materiales y residuos peligrosos de la clase 1 explosivos.• NOM-027-SCT2/2009, Especificaciones especiales y adicionales para los envases, embalajes, recipientes intermedios a granel, cisternas portátiles y transporte de las substancias, materiales y residuos peligrosos de la división 5.2 peróxidos orgánicos.• NOM-028-SCT2/2010, Disposiciones especiales y generales para el transporte de las substancias, materiales y residuos peligrosos de la clase 3 líquidos inflamables.• NOM-043-SCT-SEMAR-ARTF-2023, Documento de transporte de mercancías peligrosas.• NOM-008-SE-2021, Sistema general de unidades de medida (cancela a la NOM008-SCFI-2002).• Chapter 3.4 of the International Maritime Dangerous Goods (IMDG) Code, in force.</t>
  </si>
  <si>
    <t>Draft partial amendment of the Enforcement Rule of the Act on Registration and Evaluation of Chemical Substances</t>
  </si>
  <si>
    <t>Name of Law: “Draft partial amendment of the Enforcement Rule of the Act on Registration and Evaluation of Chemical Substances”Major Contents: A. Improved method and procedure for joint data submission of registration dossier [Article 17 of the amended Enforcement Rule]- The amendment refines wording related to joint data submission and streamlines the joint submission system by deleting certain paragraphs concerning the formation of consultative body.B. Establishment of dispute conciliation procedure regarding joint data submission/joint data use of registration dossier [Article 17-2, Form 9 and Form 9-2]- A person seeking dispute conciliation shall submit an application by using Form No. 9 to the Minister of Climate, Energy and Environment, with supporting documents proving that the dispute may cause disruption to registration, etc.- Where it is necessary for the Minister of Climate, Energy and Environment to prepare recommendation, the Minister may request the applicant and other parties to submit relevant data and information and set a deadline for such submission, and may also request the Korea Environment Corporation to support relevant works such as an investigation for fact-finding.- A party who is presented with the recommendation for resolution of dispute shall notify the Minister of Climate, Energy and Environment of acceptance or rejection within 30 days. If no intention is expressed within the period, the recommendation shall be deemed accepted.C. Establishment of procedure for the deferral of data submission in registration dossier that requires data owner’s consent to use, and the extension of the deferral period thereof [Article 17-3, Form 9-3, Form 9-4 and Form 9-5 newly inserted in the Enforcement Rule]- A person seeking data submission deferral of registration dossier shall submit an application for data submission deferral by using Form No. 9-3 to the President of the National Institute of Chemical Safety, with supporting documents proving that the application meets the requirements for deferral, etc.- The President of the National Institute of Chemical Safety shall review the application received, and notify the result within 30 days from the date of receipt. In addition, a person seeking extension of the deferral period shall submit an application for extension by using Form No. 9-5 at least 30 days prior to expiration of the deferral period.D. Establishment of procedure to report succession of duties upon a change of only representative appointed by foreign manufacturer or producer [Article 55-3, Form 38-5 newly inserted in the Enforcement Rule]- Where a foreign manufacturer/producer changes its only representative and the new only representative intends to succeed to the validity of duties that were performed by the former only representative, the new one shall submit supporting documents that prove succession of the duties previously performed by the former only representative to the President of the Korea Environment Corporation.</t>
  </si>
  <si>
    <r>
      <rPr>
        <sz val="11"/>
        <rFont val="Calibri"/>
      </rPr>
      <t>https://members.wto.org/crnattachments/2026/TBT/KOR/26_00902_00_x.pdf</t>
    </r>
  </si>
  <si>
    <t>MCEE Public Notice No. 2026-129</t>
  </si>
  <si>
    <t>Lesotho</t>
  </si>
  <si>
    <t>Import terms and Conditions for Dogs and Cats</t>
  </si>
  <si>
    <t>This document provides guidelines on the required information and animal health attestations for the importation of dogs and cats, which are to be indicated in the International Veterinary Health Certificate (IVHC) issued by the National Competent Authority of the exporting country and the Sanitary Phytosanitary Import Clearance (SPSIC) issued by the Bureau of Animal Industry.</t>
  </si>
  <si>
    <t>Other live animals (HS code: 01.06)</t>
  </si>
  <si>
    <r>
      <rPr>
        <sz val="11"/>
        <rFont val="Calibri"/>
      </rPr>
      <t>https://members.wto.org/crnattachments/2026/SPS/PHL/26_00785_00_e.pdf</t>
    </r>
  </si>
  <si>
    <t>Safety Standard for Crib Mattresses</t>
  </si>
  <si>
    <t>In 2022, the U.S. Consumer Product Safety Commission (CPSC) published a consumer product safety standard for crib mattresses under section 104 of the Consumer Product Safety Improvement Act of 2008 (CPSIA). The standard incorporated by reference ASTM F2933-21, Standard Consumer Safety Specification for Crib Mattresses, with modifications to make the standard more stringent. The CPSIA sets forth a process for updating mandatory standards for durable infant or toddler products that are based on a voluntary standard, when a voluntary standards organization revises the standard. Consistent with the CPSIA update process, this direct final rule updates the mandatory standard for crib mattresses to incorporate by reference ASTM's 2025 version of the voluntary standard, while maintaining certain modifications.The rule is effective on 3 May 2026, unless the Commission receives a significant adverse comment by 16 March 2026. If the Commission receives such a comment, it will publish a document in the Federal Register, withdrawing this direct final rule before its effective date. The incorporation by reference of certain material listed in this rule is approved by the Director of the Federal Register as of 3 May 2026.91 Federal Register (FR) 6510, 12 February 2026; Title 16 Code of Federal Regulations (CFR) Part 1241_x000D_
https://www.govinfo.gov/content/pkg/FR-2026-02-12/html/2026-02855.htm_x000D_
https://www.govinfo.gov/content/pkg/FR-2026-02-12/pdf/2026-02855.pdfThis direct final rule and previous actions notified under the symbol G/TBT/N/USA/1662 are identified by Docket Number CPSC-2020-0023. The Docket Folder is available on Regulations.gov at https://www.regulations.gov/docket/CPSC-2020-0023/document and provides access to primary and supporting documents as well as comments received. Documents are also accessible from Regulations.gov by searching the Docket Number. WTO Members and their stakeholders are asked to submit comments to the USA TBT Enquiry Point. Comments received by the USA TBT Enquiry Point from WTO Members and their stakeholders by 4pmEastern Time on 16 March 2026 will be shared with CPSC and will also be submitted to the Docket on Regulations.gov if received within the comment period.</t>
  </si>
  <si>
    <t>Crib mattresses</t>
  </si>
  <si>
    <t>03.120 - Quality; 03.120 - Quality; 13.120 - Domestic safety; 13.120 - Domestic safety; 97.160 - Home textiles. Linen; 97.160 - Home textiles. Linen; 97.190 - Equipment for children; 97.190 - Equipment for children</t>
  </si>
  <si>
    <r>
      <rPr>
        <sz val="11"/>
        <rFont val="Calibri"/>
      </rPr>
      <t>https://members.wto.org/crnattachments/2026/TBT/USA/final_measure/26_00899_00_e.pdf</t>
    </r>
  </si>
  <si>
    <t>Draft Decision of the Council of the Eurasian Economic Commission on Amendments to the Common Quarantine Phytosanitary Requirements for Regulated Products and Pests at the Customs Border and in the Customs Territory of the Eurasian Economic Union</t>
  </si>
  <si>
    <t>The draft amends the Common Quarantine Phytosanitary Requirements for Regulated Products and Pests at the Customs Border and in the Customs Territory of the EAEU with requirements for certain types of regulated products, including for new items subject to phytisanitary requirements, with regard to the causal agent of potato brown rot (Ralstonia solanacearum (Smith) Yabuuchi et al.). It also establishes requirements for fresh or dried grapes to ensure the absence of Pseudococcus comstocki (Kuwana).</t>
  </si>
  <si>
    <t>Plants: olive (Olea europaea) seedlings, white mulberry (Morus alba) seedlings, strawberry (Fragaria spp.) seedlings, blueberry and bilberry (Vaccinium spp.) seedlings, bougainvillea (Bougainvillea sp.) plants, roselle (Hibiscus sabdariffa) plants, hibiscus (Hibiscus sp.) plants, chrysanthemum (Chrysanthemum) plants; plants of banana (Musa), plants of ensete (Ensete ventricosum), plants of fig (Ficus carica), plants of clove (Syzygium aromaticum), plants of guava (Psidium guajava), Java apple (Syzygium samarangense) plants, heliconia (Heliconia) plants, bird of paradise (Strelitzia reginae) plants, sugar apple (Annona squamosa) plants, pandanus (Pandanus sp.) plantsFresh or chilled vegetables and fruits: tomatoes (Lycopersicon), fresh or chilled; peppers, fresh or chilled; eggplants (aubergines), fresh or chilled; ginger, neither crushed nor ground, fresh; bananas, including plantains, fresh; grapes, fresh or dried(HS code(s): of 0602; 0702; 070960; 070930; 091011; 0803; 0806)</t>
  </si>
  <si>
    <t>0602 - Live plants incl. their roots, cuttings and slips; mushroom spawn (excl. bulbs, tubers, tuberous roots, corms, crowns and rhizomes, and chicory plants and roots); 0702 - Tomatoes, fresh or chilled.; 070930 - Fresh or chilled aubergines "eggplants"; 070960 - Fresh or chilled fruits of the genus Capsicum or Pimenta; 0803 - Bananas, incl. plantains, fresh or dried; 0806 - Grapes, fresh or dried; 091011 - Ginger, neither crushed nor ground</t>
  </si>
  <si>
    <t>Plant health; Plant diseases; Pests</t>
  </si>
  <si>
    <r>
      <rPr>
        <sz val="11"/>
        <rFont val="Calibri"/>
      </rPr>
      <t>https://members.wto.org/crnattachments/2025/SPS/KGZ/25_09266_00_x.pdf
https://members.wto.org/crnattachments/2025/SPS/KGZ/25_09266_01_x.pdf
https://regulation.eaeunion.org/orv/3303/</t>
    </r>
  </si>
  <si>
    <t>Eurasian Economic Commission Collegium Draft Decision on amendments to the Section 3 of the Chapter II of the Common sanitary-epidemiological and hygienic requirements for products subject to sanitary-epidemiological supervision (control)</t>
  </si>
  <si>
    <t>The draft provides for the update of Section 3 of the Chapter II of the Common sanitary-epidemiological and hygienic requirements for products subject to sanitary-epidemiological supervision (control), which regulates the requirements for materials, reagents, equipment for water treatment and water purification.</t>
  </si>
  <si>
    <t>Materials, reagents, equipment for water treatment and water purification</t>
  </si>
  <si>
    <t>То be determined.</t>
  </si>
  <si>
    <r>
      <rPr>
        <sz val="11"/>
        <rFont val="Calibri"/>
      </rPr>
      <t>https://members.wto.org/crnattachments/2025/SPS/KGZ/25_09206_00_x.pdf
https://members.wto.org/crnattachments/2025/SPS/KGZ/25_09206_01_x.pdf
https://regulation.eaeunion.org/orv/3319/</t>
    </r>
  </si>
  <si>
    <t>Electronic certificates and permit issued by the Ministry of Climate Change and Environment (MOCCAE)</t>
  </si>
  <si>
    <t>The Ministry of Climate Change and Environment of the United Arab Emirates (MOCCAE) would like to inform its international partners and competent authorities that, as part of its digital transformation and service enhancement efforts, manual official stamps on veterinary health certificates have been replaced with secure electronic digital stamps.This update applies to all health certificates issued through MOCCAE's electronic system for the following services:Application for a Veterinary Health Certificate for Export or Re-export of Live Animals;Application for a Veterinary Health Certificate for Export or Re-export of Animal Products;Animal By-products, Fish and Fishery Products, and Manufactured Feed.The electronic digital stamp is officially issued and verified through MOCCAE's digital certification system. This measure enhances document security, traceability, and authenticity, while facilitating faster processing and international verification. The implementation of this change will take effect starting 23 February 2026. Veterinary health certificates issued from this date onward may bear the electronic digital stamp instead of the manual stamp.All competent authorities and trading partners are kindly requested to accept veterinary health certificates bearing the electronic digital stamp as officially valid documents issued by the UAE.For verification or further technical clarification regarding the digital stamp, authorities may contact MOCCAE through official communication channels, or use the available platform, at the following link:https://eservices.moccae.gov.ae/digitalcertificates/certificateverification.aspxor https://uaepass.ae/</t>
  </si>
  <si>
    <t>All live animals, their products and their by-products</t>
  </si>
  <si>
    <t>Animal health; Pests; Animal diseases; Food safety</t>
  </si>
  <si>
    <r>
      <rPr>
        <sz val="11"/>
        <rFont val="Calibri"/>
      </rPr>
      <t>https://members.wto.org/crnattachments/2026/SPS/ARE/26_00856_00_e.pdf</t>
    </r>
  </si>
  <si>
    <t xml:space="preserve">Draft Decree amending Decree No 408/2016 on management system requirements activities for the use of nuclear energy, activities in exposure situations, transport of radioactive and fissile substances, activities in the field of radioactive waste management, nuclear installation design, design or manufacture of selected equipment_x000D_
</t>
  </si>
  <si>
    <t>DECREE of … amending Decree No 408/2016 on management system requirements pursuant to § 236 of Act No 263/2016, the Atomic Act, the State Office for Nuclear Safety lays down the following for the implementation of § 24(7), § 29(7) and § 30(9); was adopted on 6 January 2026, published on 21 January 2026 and came into force on 1 February 2026.</t>
  </si>
  <si>
    <t>Activities for the use of nuclear energy, activities in exposure situations, transport of radioactive and fissile substances, activities in the field of radioactive waste management, nuclear installation design, design or manufacture of selected equipment_x000D_
Energy and heat transfer engineering (ICS code(s): 27); ICS 27.120.20</t>
  </si>
  <si>
    <t>27 - ENERGY AND HEAT TRANSFER ENGINEERING; 27.120.20 - Nuclear power plants. Safety; 27.120.20 - Nuclear power plants. Safety; 27 - Energy and heat transfer engineering</t>
  </si>
  <si>
    <r>
      <rPr>
        <sz val="11"/>
        <rFont val="Calibri"/>
      </rPr>
      <t>https://members.wto.org/crnattachments/2026/TBT/CZE/final_measure/26_00897_00_e.pdf
https://members.wto.org/crnattachments/2026/TBT/CZE/final_measure/26_00897_00_x.pdf</t>
    </r>
  </si>
  <si>
    <t>Import Terms and Conditions for Swine</t>
  </si>
  <si>
    <t>This document provides guidelines on the required information and animal health attestations for the importation of swine, which are to be indicated in the International Veterinary Health Certificate (IVHC) issued by the National Competent Authority of the exporting country and the Sanitary Phytosanitary Import Clearance (SPSIC) issued by the Bureau of Animal Industry.</t>
  </si>
  <si>
    <t>Live swine (HS code: 01.03)</t>
  </si>
  <si>
    <t>0103 - Live swine</t>
  </si>
  <si>
    <r>
      <rPr>
        <sz val="11"/>
        <rFont val="Calibri"/>
      </rPr>
      <t>https://members.wto.org/crnattachments/2026/SPS/PHL/26_00750_00_e.pdf</t>
    </r>
  </si>
  <si>
    <t>Partial Amendment of Ordinance for Enforcement of the Radio Act, etc. </t>
  </si>
  <si>
    <t>In the new Ordinance for Enforcement of the Radio Act and Relevant Public Notice, the frequency band used for Tire Pressure Monitoring Systems (TPMS) and Remote Keyless Entry (RKE) systems will be expanded to 433.05 MHz–434.79 MHz.The new Regulation for Radio Equipment and Relevant Public Notice will eliminate the requirements previously imposed on the equipment enclosure.</t>
  </si>
  <si>
    <t>Tire Pressure Monitoring System and Remote Keyless Entry System</t>
  </si>
  <si>
    <t>33.060 - Radiocommunications; 43.040.10 - Electrical and electronic equipment</t>
  </si>
  <si>
    <t>Japan will amend the current technical regulations in response to the following situations:A frequency band wider than that specified in Japan’s current regulations has become the global standard frequency for TPMS and RKE applications.In major countries, no requirements are imposed on the equipment enclosure for TPMS and RKE.</t>
  </si>
  <si>
    <t>June, 2026</t>
  </si>
  <si>
    <r>
      <rPr>
        <sz val="11"/>
        <rFont val="Calibri"/>
      </rPr>
      <t>https://members.wto.org/crnattachments/2026/TBT/JPN/26_00736_00_e.pdf</t>
    </r>
  </si>
  <si>
    <t>The basic law is the Radio Act (1950 Law No.131).https://www.japaneselawtranslation.go.jp/en/laws/view/3205The amendment will be published in “KAMPO”(Official Government Gazette) when adopted.(available in Japanese)</t>
  </si>
  <si>
    <t>Partial amendment to the Minimum Requirements for Biological Products</t>
  </si>
  <si>
    <t>The Minimum Requirements for Biological Products will be amended as follows:Regarding the standard for “Freeze-dried Human Fibrinogen”, the article of “Labeling” will be partially amended owing to changing the description in the package insert for proper use.</t>
  </si>
  <si>
    <t>Pharmaceutical products (HS: 30)</t>
  </si>
  <si>
    <t>To establish the standard for manufacturing process, properties, quality, storage, and others of pharmaceuticals to which special attention must be paid for the attainment of public health and sanitation (Biological products)</t>
  </si>
  <si>
    <r>
      <rPr>
        <sz val="11"/>
        <rFont val="Calibri"/>
      </rPr>
      <t>https://members.wto.org/crnattachments/2026/TBT/JPN/26_00895_00_e.pdf</t>
    </r>
  </si>
  <si>
    <t>Act on Securing Quality, Efficacy and Safety of Products Including Pharmaceuticals and Medical Devices. https://www.japaneselawtranslation.go.jp/en/laws/view/3213This amendment will be published in “KAMPO” (Official Gazette) when adopted.</t>
  </si>
  <si>
    <t>Certificados Fitosanitarios Electrónicos (Electronic phytosanitary certificate).</t>
  </si>
  <si>
    <t>The notified document is submitted pursuant to the fact that Panama is one of the 125 countries using the Generic ePhyto National System (GeNS), through the HUB of the International Plant Protection Convention (IPPC), to send and receive phytosanitary certificates in accordance with ISPM 12. In conformity with that standard, phytosanitary certification is used to attest that consignments meet phytosanitary import requirements and is undertaken by an NPPO. As of 1 March 2026, Panama will no longer issue paper-based phytosanitary certificates to countries using the ePhyto solution. The same measure will apply in future to countries that deploy the ePhyto solution and that are currently in the testing phase and/or registered.</t>
  </si>
  <si>
    <t>Plants, products and by-products of plant origin, and other regulated items that require a phytosanitary certificate</t>
  </si>
  <si>
    <r>
      <rPr>
        <sz val="11"/>
        <rFont val="Calibri"/>
      </rPr>
      <t>https://members.wto.org/crnattachments/2026/SPS/PAN/26_00798_00_e.pdf</t>
    </r>
  </si>
  <si>
    <t>Measure of a General Nature No: 0111-OOP-C103-26 laying down metrological and technical requirements for specified measuring instruments, including test methods for type approval, verification and re-testing of specified measuring instruments: ‘precision class A graduated cylinders used for volume verification’</t>
  </si>
  <si>
    <t>The regulation lays down the metrological and technical requirements for these specified measuring instruments, including the test methods for type approval and verification of specified measuring instruments.</t>
  </si>
  <si>
    <t>In the Czech Republic, precision class A graduated cylinders used for volume verification are specified measuring instruments that are subject to type approval and verification.(ICS codes: 17.060 measurement of volume, weight, density, viscosity)</t>
  </si>
  <si>
    <t>17.060 - Measurement of volume, mass, density, viscosity; 17 - Metrology and measurement. Physical phenomena</t>
  </si>
  <si>
    <t>Precision class A graduated cylinders used for volume verification may be placed on the market and put into use in the Czech Republic as specified measuring instruments pursuant to Act No 505/1990 on metrology, as amended. Pursuant to this Act, specified measuring instruments are instruments that are included in the list of the types of specified measuring instruments (Decree No 345/2002) and, at the same time, intended (by the manufacturer/importer) for measurements relevant to the protection of public interests in consumer protection, contractual relations, imposition of sanctions, fees, tariffs and taxes, health protection, environmental protection, occupational safety, or the protection of other public interests protected by special legislation. This is therefore a purpose similar to the one defining specified products – non-automatic measuring instruments and scales pursuant to Directives 2014/31/EU and 2014/32/EU. The requirements of this legislation do not apply to measuring instruments not placed on the market in the Czech Republic for the above purposes, defined by Act No 505/1990 on metrology, as amended. The purpose of this notified legislation is to lay down metrological and technical requirements for these specified measuring instruments. This legislation also stipulates tests for type approval and verification of specified measuring instruments of this type.</t>
  </si>
  <si>
    <r>
      <rPr>
        <sz val="11"/>
        <rFont val="Calibri"/>
      </rPr>
      <t>https://members.wto.org/crnattachments/2026/TBT/CZE/26_00869_00_e.pdf
https://members.wto.org/crnattachments/2026/TBT/CZE/26_00869_00_x.pdf</t>
    </r>
  </si>
  <si>
    <t>References to the basic texts:_x000D_
Act No 505/1990 on metrology, as amended_x000D_
Decree No 345/2002 stipulating measuring instruments for mandatory verification and measuring instruments subject to type approval, as amended_x000D_
§ 171 et seq. of Act No 500/2004, the Code of Administrative Procedure, as amended</t>
  </si>
  <si>
    <t>DJS 1851/2026 –Cereals, pulses and their products – Maize grains (Corn)</t>
  </si>
  <si>
    <t>This Jordanian standard is concerned with the requirements to be met for corn grains intended for human consumption, which are presented in packages or in bulk form, and this Jordanian standard does not include processed corn.</t>
  </si>
  <si>
    <r>
      <rPr>
        <sz val="11"/>
        <rFont val="Calibri"/>
      </rPr>
      <t>https://jsmo.gov.jo/EBV4.0/Root_Storage/AR/EB_UsefullLinks/%D8%B9_%D8%AA_%D9%85%D9%88%D8%A7%D8%B5%D9%81%D8%A9_%D8%A7%D9%84%D8%B0%D8%B1%D8%A9.pdf</t>
    </r>
  </si>
  <si>
    <t>Codex Alimentarius Standard for FOR MAIZE (CORN) 153/1995was revised in 1995  amended in 2019.Gulf Standard Specification 1016/2015 - Microbiological Limits for Commodities and Foodstuffs.</t>
  </si>
  <si>
    <t>Bekendtgørelse om fødevarekontaktmaterialer og om straffebestemmelser for overtrædelse af relaterede EU-retsakter/Danish Order on food contactmaterials and regarding penal provision on the relevant EU-legislation on food contact materials; The attached draft amending the legislative decree establishes new lower migration limits for lead and cadmium from enamelled articles and glass, and clarifies the applicable requirements for declaration of compliance for all food contact materials.</t>
  </si>
  <si>
    <t>The attached draft amending the legislative decree is a Danish supplementary legislation to Regulation (EC) No 1935/2004 of the European Parliament and of the Council of 27 October 2004 on materials and articles intended to come into contact with food.The draft establishes an increased demand for the use of Declaration of compliance. Paragraph 5 specifies the formal requirements for the declaration of conformity to which food contact materials marketed in Denmark at an earlier stage than the retail stage must be accompanied. The requirements for the declaration of conformity are set out in Annex 1 and apply without prejudice to specific measures issued by the Commission pursuant to Article 5 of Regulation (EC) No 1935/2004 of the European Parliament and of the Council on food contact materials and articles. Requirements for the declaration of conformity have been established by reference to Article 16(2) of Regulation (EC) No 1935/2004 of the European Parliament and of the Council on materials and articles intended to come into contact with food.Furthermore, the draft establishes new lower migration limits for lead and cadmium from enamelled articles and glass. Paragraph 10 specifies that enamelled articles and glassware may only be placed on the market in Denmark if they comply with the migration limits for lead and cadmium set out in Annex 5 to the legislative decree.The new migration limits for lead and cadmiumThe new migration limits for lead and cadmium LeadCadmiumCategory A:Articles which cannot be filled0,3 µg/dm20,4 µg/dm2Articles which can be filled, the internal depth of which, measured from the lowest point to the horizontal plane passing through the upper rim, does not exceed 25 mmThe rim of the article intended for drinkingCategory B:Baby bottles,5 µg/l0,35 µg/lArticles intended for drinking0,70 µg/lOther articles which can be filled2 µg/l</t>
  </si>
  <si>
    <t>CERAMIC PRODUCTS (HS code(s): 69); GLASS AND GLASSWARE (HS code(s): 70); MISCELLANEOUS MANUFACTURED ARTICLES (HS code(s): 96); Environment. Health protection. Safety (ICS code(s): 13); Packaging and distribution of goods (ICS code(s): 55); Agriculture (ICS code(s): 65); Glass and ceramics industries (ICS code(s): 81); Domestic and commercial equipment. Entertainment. Sports (ICS code(s): 97)</t>
  </si>
  <si>
    <t>69 - CERAMIC PRODUCTS; 70 - GLASS AND GLASSWARE; 96 - MISCELLANEOUS MANUFACTURED ARTICLES</t>
  </si>
  <si>
    <t>13 - Environment. Health protection. Safety; 55 - Packaging and distribution of goods; 65 - Agriculture; 81 - Glass and ceramics industries; 97 - Domestic and commercial equipment. Entertainment. Sports</t>
  </si>
  <si>
    <t>Contaminants</t>
  </si>
  <si>
    <r>
      <rPr>
        <sz val="11"/>
        <rFont val="Calibri"/>
      </rPr>
      <t>https://members.wto.org/crnattachments/2026/TBT/DNK/26_00867_00_x.pdf</t>
    </r>
  </si>
  <si>
    <t>Bekendtgørelse af lov om fødevarer (Danish Order on Food) LBK nr. 32 af 14/01/2025 (Gældende) Bekendtgørelse af lov om fødevarer https://www.retsinformation.dk/eli/lta/2025/32 (basic text)Bekendtgørelse om fødevarekontaktmaterialer og om straffebestemmelser for overtrædelse af relaterede EU-retsakter/Danish Order on food contact materials and regarding penal provision on the relevant EU-legislation on food contact materials (Enclosed draft see above)</t>
  </si>
  <si>
    <t>DEAS 43:2022, Bread — Specification, Third Edition</t>
  </si>
  <si>
    <t> The aim of this addendum is to update WTO Members that the Draft East African Standard, DEAS 43:2022, Bread — Specification, Third Edition, notified  G/TBT/N/BDI/311, G/TBT/N/KEN/1357, G/TBT/N/RWA/752, G/TBT/N/TZA/875, G/TBT/N/UGA/1722, was adopted by Tanzania on  31 October 2025 as a TZS 102:2025/EAS 43:2023, Bread — Specification, Third Edition</t>
  </si>
  <si>
    <t>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 (HS code(s): 190590); Cereals, pulses and derived products (ICS code(s): 67.060)</t>
  </si>
  <si>
    <t>190590 - 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 190590 - 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t>
  </si>
  <si>
    <t>67.060 - Cereals, pulses and derived products; 67.060 - Cereals, pulses and derived products</t>
  </si>
  <si>
    <t>Consumer information, labelling (TBT); Protection of human health or safety (TBT); Quality requirements (TBT); Harmonization (TBT); Reducing trade barriers and facilitating trade (TBT)</t>
  </si>
  <si>
    <t>Draft Regulation of the Halal Product Assurance Organizing Agency of the Republic of Indonesia Number … of … concerning the Form and Procedures for the Labelling of Non-Halal Information</t>
  </si>
  <si>
    <t>This regulation aims to provide guidance and legal certainty for consumers, business actors, the Halal Product Assurance Organizing Agency (BPJPH), and relevant stakeholders in determining the form and product criteria for non-halal information for products that enter, circulate, and are traded within the territory of Indonesia.</t>
  </si>
  <si>
    <t>11.120 - Pharmaceutics; 67.160 - Beverages; 71.100 - Products of the chemical industry; 71.100.70 - Cosmetics. Toiletries</t>
  </si>
  <si>
    <t>Business actors that have affixed non-halal information prior to the entry into force of this Regulation shall remain recognized, provided that they adjust the form of the non-halal information in accordance with the provisions stipulated in this Regulation no later than three (3) years from the date this Regulation is enacted</t>
  </si>
  <si>
    <r>
      <rPr>
        <sz val="11"/>
        <rFont val="Calibri"/>
      </rPr>
      <t>https://members.wto.org/crnattachments/2026/TBT/IDN/26_00888_00_x.pdf</t>
    </r>
  </si>
  <si>
    <t>Government Regulation No. 42 of 2024 concerning the Implementation of Halal Product Assurances</t>
  </si>
  <si>
    <t>Proyecto de resolución "Por medio de la cual se establecen los requisitos fitosanitarios para la importación a Colombia de plantas in vitro y ex agar de Limonium Statice (Limonium) de origen y procedencia China para ensayo, uso comercial y/o siembra" (Draft Resolution establishing the phytosanitary requirements for the importation into Colombia of in vitro and ex agar statice (Limonium) plants originating in and coming from China, for testing, commercial use and/or sowing)The Republic of Colombia hereby notifies an amendment to the draft Resolution establishing the phytosanitary requirements for the importation into Colombia of in vitro and ex agar statice (Limonium) plants originating in and coming from China, for testing, commercial use and/or sowing. The amendment consists of eliminating the requirement that the phytosanitary certificate of the country of origin include an additional declaration on the absence of Fabavirus alphaviciae (Broad bean wilt virus – BBWV-1) in the mother plants, as verified by laboratory tests (ELISA or PCR) in the country of origin. Having analysed a comment received during the international public consultation and corroborated it with the available scientific evidence, the amendment was deemed to be technically feasible.https://www.sucop.gov.co/entidades/ica/Normativa?IDNorma=27322https://members.wto.org/crnattachments/2026/SPS/COL/26_00874_00_s.pdf</t>
  </si>
  <si>
    <t>In vitro statice (Limonium) plants for commercial use, sowing and testing</t>
  </si>
  <si>
    <t>Modification of content/scope of regulation; Plant health; Plant health</t>
  </si>
  <si>
    <r>
      <rPr>
        <sz val="11"/>
        <rFont val="Calibri"/>
      </rPr>
      <t>https://members.wto.org/crnattachments/2026/SPS/COL/26_00874_00_s.pdf
https://www.sucop.gov.co/entidades/ica/Normativa?IDNorma=27322</t>
    </r>
  </si>
  <si>
    <t>Consumer information, labelling (TBT); Consumer information, labelling (TBT); Protection of human health or safety (TBT); Protection of human health or safety (TBT); Quality requirements (TBT); Quality requirements (TBT); Harmonization (TBT); Harmonization (TBT); Reducing trade barriers and facilitating trade (TBT); Reducing trade barriers and facilitating trade (TBT)</t>
  </si>
  <si>
    <t>DJS 465/2026 – Cereals, pulses and derived products – Packed chickpeas with tehena</t>
  </si>
  <si>
    <t>This Jordanian standard is concerned with the requirements that must be met in the product of packaged chickpeas with tahini prepared for direct consumption</t>
  </si>
  <si>
    <r>
      <rPr>
        <sz val="11"/>
        <rFont val="Calibri"/>
      </rPr>
      <t xml:space="preserve">https://jsmo.gov.jo/EBV4.0/Root_Storage/AR/EB_UsefullLinks/%D8%A7%D9%84%D8%AD%D9%85%D8%B5_%D8%A8%D8%A7%D9%84%D8%B7%D8%AD%D9%8A%D9%86%D8%A9_%D8%A7%D9%84%D9%85%D8%B9%D8%A8%D8%A3_%D8%B9_%D8%AA_1.pdf
</t>
    </r>
  </si>
  <si>
    <t>Codex Alimentarius Standard for REGIONAL STANDARD FOR CANNED HUMUS WITH TEHENA (NEAR EAST) 275/2007 amended in 2025.ICMSF: International Commission on Microbiological Specifications for Food</t>
  </si>
  <si>
    <t>SI 32 part 1.1: Plugs and socket outlets for household and similar purposes: Plugs and socket-outlets for single phase up to 16A - General requirements </t>
  </si>
  <si>
    <t>Plugs and socket -outlets</t>
  </si>
  <si>
    <t>8536 - Electrical apparatus for switching or protecting electrical circuits, or for making connections to or in electrical circuits, e.g., switches, relays, fuses, surge suppressors, plugs, sockets, lamp holders and junction boxes, for a voltage &lt;= 1.000 V (excl. control desks, cabinets, panels etc. of heading 8537); 8536 - Electrical apparatus for switching or protecting electrical circuits, or for making connections to or in electrical circuits, e.g., switches, relays, fuses, surge suppressors, plugs, sockets, lamp holders and junction boxes, for a voltage &lt;= 1.000 V (excl. control desks, cabinets, panels etc. of heading 8537)</t>
  </si>
  <si>
    <t>29.120.30 - Plugs, socket-outlets, couplers; 29.120.30 - Plugs, socket-outlets, couplers</t>
  </si>
  <si>
    <r>
      <rPr>
        <sz val="11"/>
        <rFont val="Calibri"/>
      </rPr>
      <t>https://members.wto.org/crnattachments/2026/TBT/ISR/final_measure/26_00842_00_x.pdf</t>
    </r>
  </si>
  <si>
    <t>Voluntary Consensus Standards Update; Formaldehyde Emission 
Standards for Composite Wood Products</t>
  </si>
  <si>
    <t>Proposed rule - The Environmental Protection Agency (EPA) is proposing to 
update the incorporation by reference of several voluntary consensus 
standards in the Agency's formaldehyde standards for composite wood 
products regulations under the Toxic Substances Control Act (TSCA) due 
to the standards having been updated or superseded by the issuing 
organizations. These new standards primarily update test methods and 
product standards concerning composite wood products that use 
formaldehyde. EPA is also proposing to conform these updated standards 
in the scope and definitional sections in the final rule and to 
incorporate by reference a new small scale quality control chamber test 
method, similar to current methods already incorporated by reference.</t>
  </si>
  <si>
    <t>Formaldehyde emissions, composite wood materials; Quality (ICS code(s): 03.120); Air quality (ICS code(s): 13.040); Wood technology processes (ICS code(s): 79.020)</t>
  </si>
  <si>
    <t>13.040.01 - Air quality in general; 03.120 - Quality; 13.040 - Air quality; 79.020 - Wood technology processes</t>
  </si>
  <si>
    <r>
      <rPr>
        <sz val="11"/>
        <rFont val="Calibri"/>
      </rPr>
      <t>https://members.wto.org/crnattachments/2026/TBT/USA/26_00883_00_e.pdf</t>
    </r>
  </si>
  <si>
    <t>91 Federal Register (FR) 6161, 11 February 2026; Title 40 Code of Federal Regulations (CFR) Part 770_x000D_
https://www.govinfo.gov/content/pkg/FR-2026-02-11/html/2026-02715.htm_x000D_
https://www.govinfo.gov/content/pkg/FR-2026-02-11/pdf/2026-02715.pdfThis proposed rule is identified by Docket Number EPA-HQ-OPPT-2017-0245. The Docket Folder is available on Regulations.gov at https://www.regulations.gov/docket/EPA-HQ-OPPT-2017-0245/document and provides access to primary and supporting documents as well as comments received. Documents are also accessible from Regulations.gov by searching the Docket Number. Previous actions notified under the symbol G/TBT/N/USA/827 are identified by Docket Numbers EPA-HQ-OPPT-2012-0018EPA-HQ-OPPT-2018-0174 and EPA-HQ-OPPT-2019-0456 and provide access to primary and supporting documents as well as comments received.</t>
  </si>
  <si>
    <t>DJS 315/2026 – Cereals, pulses and their products ــ Coffee, roasted, whole and ground</t>
  </si>
  <si>
    <t>This Jordanian standard is concerned with the requirements to be met for whole roasted coffee (coffee) seeds and ground roasted coffee (coffee) seeds, and includes decaffeinated roasted coffee (coffee) seeds.</t>
  </si>
  <si>
    <r>
      <rPr>
        <sz val="11"/>
        <rFont val="Calibri"/>
      </rPr>
      <t>https://jsmo.gov.jo/EBV4.0/Root_Storage/AR/EB_UsefullLinks/%D8%B9_%D8%AA_%D8%A7%D9%84%D9%82%D9%87%D9%88%D8%A9_%D8%A7%D9%84%D9%85%D8%AD%D9%85%D8%B5%D8%A9_-.pdf</t>
    </r>
  </si>
  <si>
    <t>Standard 2197/2024, Coffee and Roasted Coffee Beans.Iraqi Standard 1155-2/2024, Whole Roasted, Ground and Quick-Dissolved Coffee.Standard 1016/2015, Microbiological Standards for Commodities and Foodstuffs.</t>
  </si>
  <si>
    <t>Reglamento Técnico RTCR-525:2025. Productos de riesgo sanitario. Productos para la administración de nicotina. Prohibición de registro, importación, exportación, fabricación, formulación, almacenamiento, distribución, transporte, reempaque, reenvase, manipulación, comercialización y mezcla</t>
  </si>
  <si>
    <t>The notified regulation establishes the prohibition on the registration, importation, exportation, manufacture, formulation, storage, distribution, transportation, repackaging, repacking, handling, marketing and mixing of non-therapeutic and non-combustible products, intended for the oral administration of nicotine in any form.</t>
  </si>
  <si>
    <t>Nicotina</t>
  </si>
  <si>
    <t>Upon publication in the Official Journal, La Gaceta</t>
  </si>
  <si>
    <r>
      <rPr>
        <sz val="11"/>
        <rFont val="Calibri"/>
      </rPr>
      <t xml:space="preserve">https://members.wto.org/crnattachments/2026/TBT/CRI/26_00887_00_s.pdf
</t>
    </r>
  </si>
  <si>
    <t>Notice of consultation: Removing zuranolone from the Prescription Drug List (PDL) (1 page, English and French, webpage)</t>
  </si>
  <si>
    <t>This Notice of Consultation provides an opportunity to comment on the proposal to remove “zuranolone or its salts” from both the Human and Veterinary parts of the Prescription Drug List (PDL).</t>
  </si>
  <si>
    <t>Prescription status of medicinal ingredients for human use (ICS: 11.120; HS 3004.90)</t>
  </si>
  <si>
    <t>300490 - Medicaments consisting of mixed or unmixed products for therapeutic or prophylactic purposes, put up in measured doses "incl. those for transdermal administration" or in forms or packings for retail sale (excl. containing antibiotics, hormones or steroids used as hormones, alkaloids, provitamins, vitamins, their derivatives, antimalarial active principles and blinded clinical trial kits)</t>
  </si>
  <si>
    <t>For the protection of human health or safety. Recently, Health Canada published in Canada Gazette Part I its intent to (1) add zuranolone to Schedule IV to the CDSA, and (2) regulate zuranolone as a targeted substance to permit its legitimate use.  Medicinal ingredients are removed from the PDL when they are scheduled under the Controlled Drugs and Substances Act (CDSA) scheme because the controls under the CDSA framework provide sufficient oversight for any therapeutic use.</t>
  </si>
  <si>
    <r>
      <rPr>
        <sz val="11"/>
        <rFont val="Calibri"/>
      </rPr>
      <t>https://www.canada.ca/en/health-canada/services/drugs-health-products/drug-products/prescription-drug-list/notices-changes/removing-zuranolone.html</t>
    </r>
  </si>
  <si>
    <t>Health Canada website:https://www.canada.ca/en/health-canada/programs/consultation-removing-zuranolone-prescription-drug-list.html ,  posted : 11 February 2026 (available in English and French) </t>
  </si>
  <si>
    <t>Commission Implementing Regulation (EU) 2026/171 of 26 January 2026 concerning the renewal of the authorisation of fumaric acid as a feed additive for all terrestrial animal species, repealing Implementing Regulation (EU) No 1078/2013 and amending Implementing Regulation (EU) 2017/56 (Text with EEA relevance)</t>
  </si>
  <si>
    <t>The substance covered by the Act was authorised for a period of ten years as a feed additive for all terrestrial animal species in the additive category ‘technological additives’, functional group ‘preservatives’ and in the additive category ‘sensory additives’, functional group ‘flavouring compounds’. An application was submitted for the renewal of the authorisation of this substance in accordance with article 14 of Regulation (EC) No 1831/2003. Based on the favourable conclusions of a scientific assessment of the dossier submitted by the applicant, conducted by the European Food Safety Authority (EFSA), the authorisation of this substance as a feed additive for all terrestrial animal species is renewed under certain conditions detailed in the Annex to the Act. A transitional period is included for the interested parties to meet the new authorisation requirements.</t>
  </si>
  <si>
    <t>Animal health; Food safety; Human health; Animal diseases</t>
  </si>
  <si>
    <r>
      <rPr>
        <sz val="11"/>
        <rFont val="Calibri"/>
      </rPr>
      <t>https://members.wto.org/crnattachments/2026/SPS/EEC/26_00896_00_e.pdf
https://members.wto.org/crnattachments/2026/SPS/EEC/26_00896_00_f.pdf
https://members.wto.org/crnattachments/2026/SPS/EEC/26_00896_00_s.pdf</t>
    </r>
  </si>
  <si>
    <t>Propuesta de actualización Norma Técnica N°170 sobre el registro sanitario de productos biotecnológicos biosimilares</t>
  </si>
  <si>
    <t>The notified technical standard will be used in the registration process for biosimilar biotechnology medicines, to specify the provisions of MINSAL Supreme Decree No. 3/10 and establish the requirements to be met when submitting the health registration referred to in Article 42 (i).The purpose of this standard, which complements the regulations in force, is to provide internationally accepted requirements for the authorization of biosimilar products, that is, those declared to be similar to original biological products, which were authorized based on a complete quality, safety and efficacy dossier.This standard does not apply to vaccines, blood products, heparins or advanced therapies. These types of products have their own particularities, and there are national and international regulations that set out the registration requirements for these types of medicines.</t>
  </si>
  <si>
    <r>
      <rPr>
        <sz val="11"/>
        <rFont val="Calibri"/>
      </rPr>
      <t>https://members.wto.org/crnattachments/2026/TBT/CHL/26_00875_00_s.pdf</t>
    </r>
  </si>
  <si>
    <t>D.S. 3/2010 del Ministerio de Salud - Reglamento del Sistema Nacional de Control de los Productos Farmacéuticos de Uso HumanoG/TBT/N/CHL/786- 2 -</t>
  </si>
  <si>
    <t>Instructivo Externo IE-B.3.2.1-MB-02, versión 4, denominado "Inscripción, reinscripción, modificación y cancelación del registro sanitario de productos biológicos de uso humano" (External Instruction IE-B.3.2.1-MB-02, version 4, entitled "Registering, re-registering, and modifying and cancelling the health registration of biological products for human use")</t>
  </si>
  <si>
    <t>External Instruction IE-B.3.2.1-MB-02, version 4, entitled "Registering, re-registering, and modifying and cancelling the health registration of biological products for human use", in application of the guidelines laid down in Resolution ARCSA-DE-2024-049-DASP, issuing "Substitute Technical Health Regulations on the health registration, control and surveillance of biological products for human use", published in Official Journal No. 726 of 21 January 2025.The Republic of Ecuador hereby notifies Resolution ARCSA-DE-2026-002-DASP through which the National Agency for Health Surveillance, Regulation and Control (ARCSA, Doctor Leopoldo Izquieta Pérez) issued version 4 of External Instruction IE-B.3.2.1-MB-02: Registering, re-registering, and 1 This information can be provided by including a website address, a PDF attachment, or other information on where the text of the final/modified measure and/or interpretative guidance can be obtained.G/TBT/N/ECU/547/Add.4- 2 - modifying and cancelling the health registration of biological products for human use, which entered into force on 23 January 2026, superseding Resolution ARCSA-DE-2025-021-DASP.Contact details of agency or authority designated to handle comments regarding the notification:Agency:Agencia Nacional de Regulación, Control y Vigilancia Sanitaria - ARCSA (National Agency for Health Surveillance, Regulation and Control), Doctor Leopoldo Izquieta PérezMinisterio de Producción, Comercio Exterior, Inversiones y Pesca, MPCEIP (Ministry of Production, Foreign Trade, Investment and Fisheries)Subsecretaría de la Calidad (Under-Secretariat for Quality)Primary enquiry point:Cristian Eduardo Yépez JaramilloPlataforma Gubernamental de Gestión FinancieraAv. Amazonas entre Unión Nacional de Periodistas y Alfonso PereiraPiso 8Bloque amarilloQuito EC170522Tel.: (+593 2) 3948760, Ext. 2254 or 2252Email: puntocontacto-otcecu@produccion.gob.ec; puntocontactoecu@gmail.com; cyepez@produccion.gob.ecWebsite: http://www.produccion.gob.ec__________</t>
  </si>
  <si>
    <t>The draft Substitute Sanitary Technical Regulation for the issuance of sanitary certificates for, and the control and surveillance of, biological products for human use will replace Ministerial Decision No. 00385-2019 issuing the Regulation for the issuance of sanitary certificates for, and the control and surveillance of, biological medicines for human use and consumption, which was published in the Special Edition of Official Journal No. 1011 of 12 July 2019, and the amendment thereto under Ministerial Decision No. 00226-2023, which was published in Official Journal No. 451 of 5 December 2023. The purpose is to establish the legal and technical requirements that will ensure quality, safety and efficacy and under which sanitary certificates will be issued for biological products for human use, as well as the criteria for the control and surveillance of such products. G/TBT/N/ECU/547 - 2 -</t>
  </si>
  <si>
    <r>
      <rPr>
        <sz val="11"/>
        <rFont val="Calibri"/>
      </rPr>
      <t>https://members.wto.org/crnattachments/2026/TBT/ECU/final_measure/26_00884_00_s.pdf</t>
    </r>
  </si>
  <si>
    <t>Draft Resolution of the Cabinet of Ministers of Ukraine “On Approval of Technical Regulation on Ecodesign Requirements for Servers and Data Storage Products”</t>
  </si>
  <si>
    <t>Ukraine notifies the adoption of the Resolution of the Cabinet of Ministers of Ukraine of 05 February 2026 No. 160 "On Approval of Technical Regulation  on  Ecodesign  Requirements  for  Servers  and Data  Storage  Products"._x000D_
The Resolution was published on 11 February 2026 and will enter into force six months after its official publication, i.е. on 11 August 2026.</t>
  </si>
  <si>
    <t>Servers and online data storage products</t>
  </si>
  <si>
    <t>35.220 - Data storage devices; 35.220 - Data storage devices</t>
  </si>
  <si>
    <r>
      <rPr>
        <sz val="11"/>
        <rFont val="Calibri"/>
      </rPr>
      <t>https://members.wto.org/crnattachments/2026/TBT/UKR/final_measure/26_00882_00_x.pdf</t>
    </r>
  </si>
  <si>
    <t>DJS 1831/2026 –Cereals, pulses and their products – Oats grains</t>
  </si>
  <si>
    <t>This Jordanian standard is concerned with the requirements to be met for ready-to-manufacture oats intended for human consumption, and this Jordanian standard does not include peeled oats of the Avena nuda variety.</t>
  </si>
  <si>
    <r>
      <rPr>
        <sz val="11"/>
        <rFont val="Calibri"/>
      </rPr>
      <t>https://jsmo.gov.jo/EBV4.0/Root_Storage/AR/EB_UsefullLinks/%D8%AD%D8%A8%D9%88%D8%A8_%D8%A7%D9%84%D8%B4%D9%88%D9%81%D8%A7%D9%86_%D8%B9_%D8%AA_1.pdf</t>
    </r>
  </si>
  <si>
    <t>Codex Alimentarius Standard for FOR OATS 201/1995 was revised in 1995, and amended in 2019.Gulf Standard Specification 1016/2015 - Microbiological Limits for Commodities and Foodstuffs</t>
  </si>
  <si>
    <t>DEAS 1008:2023, Fermented (cultured) milk — Specification</t>
  </si>
  <si>
    <t>Kenya would like to inform WTO Members that the East Africa Standard; EAS 1008:2023, Fermented (cultured) milk — Specification, notified as DEAS 1008:2023, Fermented (cultured) milk — Specification in, G/TBT/N/BDI/451, G/TBT/N/KEN/1556, G/TBT/N/RWA/986, G/TBT/N/TZA/1087, G/TBT/N/UGA/1901was adopted and published by Kenya as Kenya Standard KS EAS 1008:2023, Fermented (cultured) milk — Specification  on 24th October 2025 via Gazette Notice No. 15384 dated 24th October 2025.A copy of the document can be obtained via the following link at a basic fee: https://webstore.kebs.org</t>
  </si>
  <si>
    <t>Milk and processed milk products (ICS code(s): 67.100.10)</t>
  </si>
  <si>
    <t>040390 - Buttermilk, curdled milk and cream, kephir and other fermented or acidified milk and cream, whether or not concentrated or flavoured or containing added sugar or other sweetening matter, fruits, nuts or cocoa (excl. yogurt); 040390 - Buttermilk, curdled milk and cream, kephir and other fermented or acidified milk and cream, whether or not concentrated or flavoured or containing added sugar or other sweetening matter, fruits, nuts or cocoa (excl. yogurt)</t>
  </si>
  <si>
    <t>67.100.10 - Milk and processed milk products; 67.100.10 - Milk and processed milk products</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</si>
  <si>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Quality requirements (TBT); Quality requirements (TBT); Harmonization (TBT); Harmonization (TBT); Reducing trade barriers and facilitating trade (TBT); Reducing trade barriers and facilitating trade (TBT)</t>
  </si>
  <si>
    <t>DEAS 780: 2022 Fresh bitter cassava roots — Specification</t>
  </si>
  <si>
    <t> The aim of this addendum is to update WTO Members that the Draft East African Standard, DEAS 780: 2022 Fresh bitter cassava roots — Specification, notified  G/TBT/N/BDI/280, G/TBT/N/KEN/1314, G/TBT/N/RWA/714, G/TBT/N/TZA/833, G/TBT/N/UGA/1688, was adopted by Tanzania on  31 October 2025 as a TZS 2316:2025/EAS 780: 2023 Fresh bitter cassava roots — Specification</t>
  </si>
  <si>
    <t>Vegetables and derived products (ICS code(s): 67.080.20)</t>
  </si>
  <si>
    <t>67.080.20 - Vegetables and derived products; 67.080.20 - Vegetables and derived products</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</si>
  <si>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Quality requirements (TBT); Quality requirements (TBT); Harmonization (TBT); Harmonization (TBT); Reducing trade barriers and facilitating trade (TBT); Reducing trade barriers and facilitating trade (TBT); Cost saving and productivity enhancement (TBT); Cost saving and productivity enhancement (TBT)</t>
  </si>
  <si>
    <t>DEAS 778: 2022 Fresh bitter cassava roots — Specification</t>
  </si>
  <si>
    <t> The aim of this addendum is to update WTO Members that the Draft East African Standard, DEAS 778: 2022 Fresh bitter cassava roots — Specification, notified  G/TBT/N/BDI/281, G/TBT/N/KEN/1315, G/TBT/N/RWA/715, G/TBT/N/TZA/834, G/TBT/N/UGA/1689, was adopted by Tanzania on  31 October 2025 as a TZS 2315:2025/EAS 778: 2023 Fresh bitter cassava roots — Specification</t>
  </si>
  <si>
    <t>SI 1888 Part 1 - Child care articles - Wheeled child conveyances: Pushchairs and prams</t>
  </si>
  <si>
    <t>Wheeled child conveyances; Baby strollers; Baby carriages (HS code(s): 8715); (ICS code(s): 97.190)</t>
  </si>
  <si>
    <t>8715 - Baby carriages and parts thereof.; 8715 - Baby carriages and parts thereof.</t>
  </si>
  <si>
    <r>
      <rPr>
        <sz val="11"/>
        <rFont val="Calibri"/>
      </rPr>
      <t>https://members.wto.org/crnattachments/2026/TBT/ISR/final_measure/26_00844_00_x.pdf</t>
    </r>
  </si>
  <si>
    <t>Consumer information, labelling (TBT); Prevention of deceptive practices and consumer protection (TBT); Protection of human health or safety (TBT); Quality requirements (TBT); Harmonization (TBT); Reducing trade barriers and facilitating trade (TBT); Cost saving and productivity enhancement (TBT)</t>
  </si>
  <si>
    <t>DEAS 803: 2022, Nutrition labelling― Requirements</t>
  </si>
  <si>
    <t> The aim of this addendum is to update WTO Members that the Draft East Africa Standard, DEAS 803: 2022, Nutrition labelling― Requirements, notified  G/TBT/N/BDI/216, G/TBT/N/KEN/1225, G/TBT/N/RWA/642, G/TBT/N/TZA/717, G/TBT/N/UGA/1549, was adopted by Tanzania on  31 October 2025 as a TZS 481:2025/EAS 803: 2023, Nutrition labelling― Requirements</t>
  </si>
  <si>
    <t>Prepackaged and prepared foods (ICS code(s): 67.230)</t>
  </si>
  <si>
    <t>Consumer information, labelling (TBT); Prevention of deceptive practices and consumer protection (TBT); Protection of human health or safety (TBT); Quality requirements (TBT); Reducing trade barriers and facilitating trade (TBT); Cost saving and productivity enhancement (TBT)</t>
  </si>
  <si>
    <t>Labelling; Food standards; Nutrition information; Nutrition information; Labelling; Food standards</t>
  </si>
  <si>
    <t>DEAS 33: 2023, Yoghurt — Specification</t>
  </si>
  <si>
    <t>Kenya would like to inform WTO Members that the East Africa Standard; EAS 33: 2023, Yoghurt — Specification, notified as DEAS 33: 2023, Yoghurt — Specification in, G/TBT/N/BDI/450, G/TBT/N/KEN/1555, G/TBT/N/RWA/985, G/TBT/N/TZA/1086, G/TBT/N/UGA/1900 was adopted and published by Kenya as Kenya Standard KS EAS 33: 2023, Yoghurt — Specification on 24th October 2025 via Gazette Notice No. 15384 dated 24th October 2025 A copy of the document can be obtained via the following link at a basic fee: https://webstore.kebs.org</t>
  </si>
  <si>
    <t>040320 - Yogurt, whether or not flavoured or containing added sugar or other sweetening matter, fruit, nuts, cocoa, chocolate, spices, coffee, plants, cereals or bakers' wares; 040320 - Yogurt, whether or not flavoured or containing added sugar or other sweetening matter, fruit, nuts, cocoa, chocolate, spices, coffee, plants, cereals or bakers' wares</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</si>
  <si>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Quality requirements (TBT); Quality requirements (TBT); Reducing trade barriers and facilitating trade (TBT); Reducing trade barriers and facilitating trade (TBT)</t>
  </si>
  <si>
    <t> The aim of this addendum is to update WTO Members that the Draft East African Standard, DEAS 43:2022, Bread — Specification, Third Edition, notified  G/SPS/N/BDI/30, G/SPS/N/KEN/186, G/SPS/N/RWA/23, G/SPS/N/TZA/224, G/SPS/N/UGA/226, was adopted by Tanzania on  31 October 2025 as a TZS 102:2025/EAS 43:2023, Bread — Specification, Third Edition.</t>
  </si>
  <si>
    <t>Food safety; Human health; Adoption/publication/entry into force of reg.; Food safety; Human health</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</si>
  <si>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Quality requirements (TBT); Quality requirements (TBT); Reducing trade barriers and facilitating trade (TBT); Reducing trade barriers and facilitating trade (TBT); Cost saving and productivity enhancement (TBT); Cost saving and productivity enhancement (TBT)</t>
  </si>
  <si>
    <t>Nutrition information; Labelling; Food standards; Nutrition information; Labelling; Food standards</t>
  </si>
  <si>
    <t>Order on ignition interlock devices to be used in connection with driving licences with an ignition interlock condition</t>
  </si>
  <si>
    <t>The draft amends the Order on ignition interlocks to reflect the latest amendment to the Road Traffic Act (Act No. 567 of 27 May 2025), which lowered the blood alcohol level limit to 0.2 for first-time buyers in the first three years._x000D_
_x000D_
The Order stipulates that ignition interlocks may be set at 0.10 mg of alcohol per litre of exhaled air for that part of the participation period which falls within the first 3 years after the first acquisition of the right to drive an ordinary car._x000D_
The amendment is implemented in order to adapt the Order on ignition interlocks to the lower alcohol level for first-time acquirers in the first 3 years, thereby facilitating the implementation of the legislative amendment using the correct technical function._x000D_
_x000D_
The aim is to ensure consistency between technical requirements for ignition interlock devices and national legal requirements._x000D_
_x000D_
The change affects technical characteristics and settings of ignition interlock devices, but does not change requirements for other users of ignition interlock devices._x000D_
_x000D_
No new barriers to trade are expected, as the amendment to the Order only clarifies the setting options for existing technology.</t>
  </si>
  <si>
    <t>Ignition interlock devices</t>
  </si>
  <si>
    <t>43.040.10 - Electrical and electronic equipment</t>
  </si>
  <si>
    <r>
      <rPr>
        <sz val="11"/>
        <rFont val="Calibri"/>
      </rPr>
      <t>https://members.wto.org/crnattachments/2026/TBT/DNK/26_00788_00_x.pdf
https://members.wto.org/crnattachments/2026/TBT/DNK/26_00788_01_x.pdf</t>
    </r>
  </si>
  <si>
    <t>Order on ignition interlock devices to be used in connection with driving licences with an ignition interlock condition (Bekendtgørelse om alkolåse, der anvendes i forbindelse med kørekort med vilkår om alkolås)The Danish Traffic Regulation Act (Færdselsloven)</t>
  </si>
  <si>
    <t>Consumer information, labelling (TBT); Prevention of deceptive practices and consumer protection (TBT); Protection of human health or safety (TBT); Quality requirements (TBT); Harmonization (TBT); Reducing trade barriers and facilitating trade (TBT)</t>
  </si>
  <si>
    <t>DEAS 1191: 2023, Flavoured milk — Specification</t>
  </si>
  <si>
    <t>Kenya would like to inform WTO Members that the East Africa Standard; EAS 1191: 2023, Flavoured milk — Specification, notified as DEAS 1191:2023 Flavoured milk — Specification in, G/TBT/N/BDI/452, G/TBT/N/KEN/1557, G/TBT/N/RWA/987, G/TBT/N/TZA/1088, G/TBT/N/UGA/1902was adopted and published by Kenya as Kenya Standard KS EAS 1191: 2023, Flavoured milk — Specification on 24th October 2025 via Gazette Notice No. 15384 dated 24th October 2025. A copy of the document can be obtained via the following link at a basic fee: https://webstore.kebs.org</t>
  </si>
  <si>
    <t>DEAS 738: 2022 Fresh sweet cassava roots — Specification</t>
  </si>
  <si>
    <t> The aim of this addendum is to update WTO Members that the Draft East African Standard, DEAS 738: 2022 Fresh sweet cassava roots — Specification, notified  G/TBT/N/BDI/285, G/TBT/N/KEN/1319, G/TBT/N/RWA/719, G/TBT/N/TZA/838, G/TBT/N/UGA/1693, was adopted by Tanzania on  31 October 2025 as a TZS 1276:2025/EAS 738: 2023 Fresh sweet cassava roots — Specification</t>
  </si>
  <si>
    <t>DEAS 1193: 2023, Lactose free milk — Specification</t>
  </si>
  <si>
    <t>Kenya would like to inform WTO Members that the East Africa Standard; EAS 1193: 2023, Lactose free milk — Specification, notified as DEAS 1193: 2023, Lactose free milk — Specification in, G/TBT/N/BDI/454, G/TBT/N/KEN/1559, G/TBT/N/RWA/990, G/TBT/N/TZA/1090, G/TBT/N/UGA/1904was adopted and published by Kenya as Kenya Standard KS EAS 1193: 2023, Lactose free milk — Specification on 24th October 2025 via Gazette Notice No. 15384 dated 24th October 2025 A copy of the document can be obtained via the following link at a basic fee: https://webstore.kebs.org</t>
  </si>
  <si>
    <t>KS 2744:2025 Orthodox tea – Specification</t>
  </si>
  <si>
    <t>This Kenya Standard specifies requirements, sampling and test methods for orthodox teas (non-aerated, aerated, semi aerated) processed from green leaf or purple leaf of the species Camellia sinensis (Linneaus)O. Kuntze. This standard does not apply to flavoured teas and decaffeinated orthodox teas</t>
  </si>
  <si>
    <r>
      <rPr>
        <sz val="11"/>
        <rFont val="Calibri"/>
      </rPr>
      <t>https://members.wto.org/crnattachments/2026/TBT/KEN/26_00848_00_e.pdf</t>
    </r>
  </si>
  <si>
    <t>ISO 3720, Black tea — Definitions and basic requirements.KS ISO 11287, Green tea — Definitions and basic requirements</t>
  </si>
  <si>
    <t>DKS 2431: 2025 Garlic paste — Specification</t>
  </si>
  <si>
    <t>Kenya would like to inform WTO Members that the Kenya Standard; KS 2431: 2025 Garlic paste — Specification, notified as DKS 2431: 2025 Garlic paste — Specification in, G/TBT/N/KEN/1775 was adopted and published by Kenya as Kenya Standard KS 2431: 2025 Garlic paste — Specification on 24th October 2025 via Gazette Notice No. 15384 dated 24th October 2025 A copy of the document can be obtained via the following link at a basic fee: https://webstore.kebs.org</t>
  </si>
  <si>
    <t>Food products in general (ICS code(s): 67.040)</t>
  </si>
  <si>
    <t>67.040 - Food products in general; 67.040 - Food products in general</t>
  </si>
  <si>
    <t>Quality requirements (TBT); Reducing trade barriers and facilitating trade (TBT)</t>
  </si>
  <si>
    <t>DUS 2451:2026, Banana fibre hair extensions — Specification, First Edition</t>
  </si>
  <si>
    <t>This Draft Uganda Standard specifies the requirements, test methods and sampling of banana fibre hair extensions for use by humans. This standard does not apply to synthetic fibre hair extensions or natural hair extensions cut from humans and animals (including fur and hair)</t>
  </si>
  <si>
    <t>Wigs, false beards, eyebrows and eyelashes, switches and the like, of human or animal hair or of textile materials; articles of human hair, n.e.s. (HS code(s): 6704); Other products of the textile industry (ICS code(s): 59.080.99); Banana fibre hair extensions</t>
  </si>
  <si>
    <t>6704 - Wigs, false beards, eyebrows and eyelashes, switches and the like, of human or animal hair or of textile materials; articles of human hair, n.e.s.</t>
  </si>
  <si>
    <t>59.080.99 - Other products of the textile industry</t>
  </si>
  <si>
    <t>Consumer information, labelling (TBT); Prevention of deceptive practices and consumer protection (TBT); Protection of the environment (TBT); Quality requirements (TBT)</t>
  </si>
  <si>
    <r>
      <rPr>
        <sz val="11"/>
        <rFont val="Calibri"/>
      </rPr>
      <t>https://members.wto.org/crnattachments/2026/TBT/UGA/26_00834_00_e.pdf</t>
    </r>
  </si>
  <si>
    <t>ISO 105-B01, Textiles — Tests for colour fastness — Part B01: Colour fastness to light: DaylightISO 105-C10, Textiles — Tests for colour fastness — Part C10: Colour fastness to washing with soap or soap and sodaISO 105-E03, Textiles — Tests for colour fastness — Part E03: Colour fastness to chlorinated water (swimming-pool water)ISO 139, Textiles — Standard atmospheres for conditioning and testingISO 1973, Textile fibres — Determination of linear density — Gravimetric method and vibroscope methodISO 3071, Textiles — Determination of pH of aqueous extractISO 5079, Textile fibres — Determination of breaking force and elongation at break of individual fibresUS EAS 847-16, Cosmetics — Analytical methods — Part 16: Determination of lead, mercury and arsenic contentUS ISO 105- E04, Textiles — Tests for colour fastness — Part E04: Colour fastness to perspirationUS ISO 105-X12, Textiles — Tests for colour fastness — Part X12: Colour fastness to rubbingISO 1833-4, Textiles — Quantitative chemical analysis — Part 4: Mixtures of certain protein fibres with certain other fibres (method using hypochlorite)ISO 1833-5, Textiles — Quantitative chemical analysis — Part 5: Mixtures of viscose, cupro or modal and cotton fibres (method using sodium zincate)ISO 1833-11, Textiles — Quantitative chemical analysis — Part 11: Mixtures of certain cellulose fibres with certain other fibres (method using sulfuric acid)ISO 2859-1, Sampling procedures for inspection by attributes — Part 1: Sampling schemes indexed by acceptance quality limit (AQL) for lot-by-lot inspectionISO 22716, Cosmetics — Good Manufacturing Practices (GMP) — Guidelines on Good Manufacturing PracticesUS EAS 966: 2020, Synthetic hair extensions –Specification</t>
  </si>
  <si>
    <t>TDC 11 CD2 (1947), Leather – Lining - Specification. First edition</t>
  </si>
  <si>
    <t> The aim of this addendum is to update WTO Members that the Draft Tanzania Standard, TDC 11 CD2 (1947), Leather – Lining - Specification. First edition, notified  G/TBT/N/TZA/1009, was adopted by Tanzania on  31 October 2025 as a TZS 4070:2025 Leather – Lining - Specification. First edition</t>
  </si>
  <si>
    <t>Leather products (ICS code(s): 59.140.35)</t>
  </si>
  <si>
    <t>59.140.35 - Leather products; 59.140.35 - Leather products</t>
  </si>
  <si>
    <t>DEAS 771: 2022, Fresh sweet potato — Specification, Second Edition</t>
  </si>
  <si>
    <t> The aim of this addendum is to update WTO Members that the Draft East African Standard, DEAS 771: 2022, Fresh sweet potato — Specification, Second Edition, notified G/TBT/N/BDI/254, G/TBT/N/KEN/1275, G/TBT/N/RWA/684, G/TBT/N/TZA/808, G/TBT/N/UGA/1658, was adopted by Tanzania on  31 October 2025 as a TZS 4054:2025/EAS 771: 2023, Fresh sweet potato — Specification, Second Edition</t>
  </si>
  <si>
    <t>- Sweet potatoes (HS code(s): 071420); Vegetables and derived products (ICS code(s): 67.080.20),  Fresh sweet potato</t>
  </si>
  <si>
    <t>071420 - Sweet potatoes, fresh, chilled, frozen or dried, whether or not sliced or in the form of pellets; 071420 - Sweet potatoes, fresh, chilled, frozen or dried, whether or not sliced or in the form of pellets</t>
  </si>
  <si>
    <t>TDC 11 CD2 (1946),Leather for Oil Seal — Specification, First edition</t>
  </si>
  <si>
    <t> The aim of this addendum is to update WTO Members that the Draft Tanzania Standard, TDC 11 CD2 (1946),Leather for Oil Seal — Specification, First edition, notified  G/TBT/N/TZA/1007, was adopted by Tanzania on  31 October 2025 as a TZS 4069:2025 Leather for Oil Seal — Specification, First edition</t>
  </si>
  <si>
    <t>DKS 2430:2025 Ginger paste ― Specification</t>
  </si>
  <si>
    <t>Kenya would like to inform WTO Members that the Kenya Standard; KS 2430: 2025, Ginger paste ― Specification, notified as DKS 2430: 2025, Ginger paste ― Specification  in, G/TBT/N/KEN/1776 was adopted and published by Kenya as KS 2430: 2025, Ginger paste ― Specification on 24th October 2025 via Gazette Notice No. 15384 dated 24th October 2025.A copy of the document can be obtained via the following link at a basic fee: https://webstore.kebs.org</t>
  </si>
  <si>
    <t>09101 - - Ginger:; 09101 - - Ginger:</t>
  </si>
  <si>
    <r>
      <rPr>
        <sz val="11"/>
        <rFont val="Calibri"/>
      </rPr>
      <t>https://webstore.kebs.org</t>
    </r>
  </si>
  <si>
    <t>SI 60601 part 1 – Medical electrical equipment:  General requirements for basic safety and essential performance</t>
  </si>
  <si>
    <t>Medical electrical equipment (HS code(s): 9018; 9019; 9405); (ICS code(s): 11.040)</t>
  </si>
  <si>
    <t>901910 - Mechano-therapy appliances; massage apparatus; psychological aptitude-testing apparatus; 9018 - Instruments and appliances used in medical, surgical, dental or veterinary sciences, incl. scintigraphic apparatus, other electro-medical apparatus and sight-testing instruments, n.e.s.; 9405 - Lamps and lighting fittings, incl. searchlights and spotlights, and parts thereof, n.e.s; illuminated signs, illuminated name-plates and the like having a permanently fixed light source, and parts thereof, n.e.s.; 9018 - Instruments and appliances used in medical, surgical, dental or veterinary sciences, incl. scintigraphic apparatus, other electro-medical apparatus and sight-testing instruments, n.e.s.; 9019 - Mechano-therapy appliances; massage apparatus; psychological aptitude-testing apparatus; ozone therapy, oxygen therapy, aerosol therapy, artificial respiration or other therapeutic respiration apparatus; 9405 - Luminaires and lighting fittings, incl. searchlights and spotlights, and parts thereof, n.e.s; illuminated signs, illuminated nameplates and the like having a permanently fixed light source, and parts thereof, n.e.s.; 901910 - Mechano-therapy appliances; massage apparatus; psychological aptitude-testing apparatus; 9405 - Luminaires and lighting fittings, incl. searchlights and spotlights, and parts thereof, n.e.s; illuminated signs, illuminated nameplates and the like having a permanently fixed light source, and parts thereof, n.e.s.; 9019 - Mechano-therapy appliances; massage apparatus; psychological aptitude-testing apparatus; ozone therapy, oxygen therapy, aerosol therapy, artificial respiration or other therapeutic respiration apparatus; 9018 - Instruments and appliances used in medical, surgical, dental or veterinary sciences, incl. scintigraphic apparatus, other electro-medical apparatus and sight-testing instruments, n.e.s.</t>
  </si>
  <si>
    <r>
      <rPr>
        <sz val="11"/>
        <rFont val="Calibri"/>
      </rPr>
      <t>https://members.wto.org/crnattachments/2026/TBT/ISR/final_measure/26_00845_00_x.pdf</t>
    </r>
  </si>
  <si>
    <t>TDC 11 CD2 (1945),Leather - Volleyball — Specification, First edition</t>
  </si>
  <si>
    <t> The aim of this addendum is to update WTO Members that the Draft Tanzania Standard, TDC 11 CD2 (1945),Leather - Volleyball — Specification, First edition, notified G/TBT/N/TZA/1008, was adopted by Tanzania on  31 October 2025 as a TZS 4071:2025 Leather - Volleyball — Specification, First edition</t>
  </si>
  <si>
    <t>Hazardous Materials: Harmonization With International Standards</t>
  </si>
  <si>
    <t>Notice of proposed rulemaking (NPRM) - The Pipeline and Hazardous Materials Safety Administration (PHMSA) proposes to amend the Hazardous Materials Regulations to 
adopt certain international regulations and standards related to proper 
shipping names, hazard classes, packing groups, special provisions, 
packaging authorizations, air transport quantity limitations, and 
vessel stowage requirements. These amendments are intended to maintain 
consistency with the latest international standards and regulations, 
and to reduce costs to entities or individuals within the United States 
or to otherwise lower the cost of regulations on the United States 
economy.</t>
  </si>
  <si>
    <t>Hazardous materials transport; Transport (ICS code(s): 03.220); Protection against dangerous goods (ICS code(s): 13.300); Products of the chemical industry (ICS code(s): 71.100)</t>
  </si>
  <si>
    <t>03.220 - Transport; 13.300 - Protection against dangerous goods; 71.100 - Products of the chemical industry</t>
  </si>
  <si>
    <t>Protection of human health or safety (TBT); Harmonization (TBT); Cost saving and productivity enhancement (TBT)</t>
  </si>
  <si>
    <r>
      <rPr>
        <sz val="11"/>
        <rFont val="Calibri"/>
      </rPr>
      <t>https://members.wto.org/crnattachments/2026/TBT/USA/26_00846_00_e.pdf</t>
    </r>
  </si>
  <si>
    <t xml:space="preserve">91 Federal Register (FR) 5996, 10 February 2026; Title 49 Code of Federal Regulations (CFR) Parts 171172173175176178, and 180_x000D_
https://www.govinfo.gov/content/pkg/FR-2026-02-10/html/2026-02575.htm_x000D_
https://www.govinfo.gov/content/pkg/FR-2026-02-10/pdf/2026-02575.pdfThis notice of proposed rulemaking is identified by Docket Number PHMSA-2023-0111. The Docket Folder is available on Regulations.gov at https://www.regulations.gov/docket/PHMSA-2023-0111/document and provides access to primary and supporting documents as well as comments received. Documents are also accessible from Regulations.gov by searching the Docket Number. _x000D_
_x000D_
</t>
  </si>
  <si>
    <t>SI 562 part 3 - Safety of toys: Migration of certain chemical elements</t>
  </si>
  <si>
    <t>Toys</t>
  </si>
  <si>
    <t>95 - TOYS, GAMES AND SPORTS REQUISITES; PARTS AND ACCESSORIES THEREOF; 95 - TOYS, GAMES AND SPORTS REQUISITES; PARTS AND ACCESSORIES THEREOF</t>
  </si>
  <si>
    <t>97.200.50 - Toys; 97.200.50 - Toys</t>
  </si>
  <si>
    <r>
      <rPr>
        <sz val="11"/>
        <rFont val="Calibri"/>
      </rPr>
      <t>https://members.wto.org/crnattachments/2026/TBT/ISR/final_measure/26_00843_00_x.pdf</t>
    </r>
  </si>
  <si>
    <t>Human health; Food safety; Adoption/publication/entry into force of reg.; Food safety; Human health</t>
  </si>
  <si>
    <t>REGLAMENTO PARA LA REGULACIÓN Y CONTROL SANITARIO DE LOS PRODUCTOS FARMACÉUTICOS Y AFINES</t>
  </si>
  <si>
    <t>The purpose of the notified Regulations is to regulate and standardize the control of pharmaceutical and related products; narcotics, psychotropics and their precursors; pesticides for domestic and professional use, of chemical or biological origin, repellents, and the raw materials for these products; the machinery and accessories used to produce and manufacture them; and the establishments that produce and market them.G/TBT/N/GTM/106- 2 - In addition, the Regulations establish the principles, standards, criteria and basic provisions to guarantee the efficacy, safety, performance, proper functioning, and quality of the products mentioned in the previous paragraph throughout their entire life cycle, including from clinical trials through to surveillance, as applicable.The Regulations also set out the actions of natural or legal persons, public or private, national or foreign, related to their involvement in the industrial, commercial or research processes of the products referred to in these Regulations, or who, by virtue of their professional qualifications, may guarantee, control, prescribe or dispense them.</t>
  </si>
  <si>
    <t>Código SAC: 30.03 y 30.04Partida SA3003.00 y SA3004.00</t>
  </si>
  <si>
    <t>3003 - Medicaments consisting of two or more constituents mixed together for therapeutic or prophylactic uses, not in measured doses or put up for retail sale (excl. goods of heading 3002, 3005 or 3006); 3004 - Medicaments consisting of mixed or unmixed products for therapeutic or prophylactic uses, put up in measured doses "incl. those for transdermal administration" or in forms or packings for retail sale (excl. goods of heading 3002, 3005 or 3006)</t>
  </si>
  <si>
    <t>Regular y normar el control sanitario de los productos farmacéuticos, productos farmacéuticos y productos afines; estupefacientes, sicotrópicos y sus precursores; plaguicidas de uso doméstico y plaguicidas de uso profesional, de origen químico o biológico, repelente y las materias primas de dichos productos; las máquinas y accesorios que se utilizan para su producción y fabricación, así como los establecimientos que los producen y comercializan.El Reglamento deroga el Acuerdo Gubernativo número 712-99 del Presidente de la República, Reglamento para el Control Sanitario de los Medicamentos y Productos Afines, debido a que corresponde a una actualización. </t>
  </si>
  <si>
    <r>
      <rPr>
        <sz val="11"/>
        <rFont val="Calibri"/>
      </rPr>
      <t>https://members.wto.org/crnattachments/2026/TBT/GTM/26_00839_00_s.pdf</t>
    </r>
  </si>
  <si>
    <t>Update to Government Decision No. 712-99, Reglamento para el Control Sanitario de los Medicamentos y Productos Afines.</t>
  </si>
  <si>
    <t>Request for Comment on Vestigial Vehicle Safety Regulations</t>
  </si>
  <si>
    <t>Request for comments (RFC) - In alignment with the Department's ongoing commitment to 
regulatory reform and the promotion of automotive innovation, the National Highway Traffic Safety Administration (NHTSA) is 
seeking public comment to identify requirements and test procedures 
within the Federal Motor Vehicle Safety Standards (FMVSS) and 
regulations that no longer serve a functional safety purpose but 
continue to impose costs, stifle design creativity, or act as barriers 
to the deployment of new technologies. This request for comment 
specifically targets technical requirements that hinder the transition 
to technology-neutral, performance-based standards.</t>
  </si>
  <si>
    <t>Vehicle safety; Road vehicles in general (ICS code(s): 43.020)</t>
  </si>
  <si>
    <t>Reducing trade barriers and facilitating trade (TBT); Cost saving and productivity enhancement (TBT)</t>
  </si>
  <si>
    <r>
      <rPr>
        <sz val="11"/>
        <rFont val="Calibri"/>
      </rPr>
      <t>https://members.wto.org/crnattachments/2026/TBT/USA/26_00841_00_e.pdf</t>
    </r>
  </si>
  <si>
    <t xml:space="preserve">91 Federal Register (FR) 2992, 23 January 2026:_x000D_
https://www.govinfo.gov/content/pkg/FR-2026-01-23/html/2026-01272.htm_x000D_
https://www.govinfo.gov/content/pkg/FR-2026-01-23/pdf/2026-01272.pdfThis request for comments is identified by Docket Number NHTSA-2026-0133. The Docket Folder is available on Regulations.gov at https://www.regulations.gov/docket/NHTSA-2026-0133/document and provides access to primary documents as well as comments received. Documents are also accessible from Regulations.gov by searching the Docket Number. _x000D_
_x000D_
</t>
  </si>
  <si>
    <t>Consumer information, labelling (TBT); Prevention of deceptive practices and consumer protection (TBT); Protection of human health or safety (TBT); Quality requirements (TBT); Reducing trade barriers and facilitating trade (TBT)</t>
  </si>
  <si>
    <t xml:space="preserve">Normalizing Unmanned Aircraft Systems Beyond Visual Line of Sight 
Operations; Reopening of Comment Period; Denial of Extension&gt;_x000D_
</t>
  </si>
  <si>
    <t xml:space="preserve">This action denies requests for extension of the reopening of the comment period for the notice of proposed rulemaking (NPRM) titled ''Normalizing Unmanned Aircraft Systems Beyond Visual Line of Sight Operations'' that was published in the Federal Register on 28 January 2026 (notified as G/TBT/N/USA/2232/Add.291 Federal Register (FR) 5880, 10 February 2026; Title 14 Code of Federal Regulations Parts 364345488991107108119133135137, and 146_x000D_
https://www.govinfo.gov/content/pkg/FR-2026-02-10/html/2026-02649.htm_x000D_
https://www.govinfo.gov/content/pkg/FR-2026-02-10/pdf/2026-02649.pdfThis action and previous actions notified under the symbol G/TBT/N/USA/2232 are identified by Docket Number FAA-2025-1908. The Docket Folder is available on Regulations.gov at https://www.regulations.gov/docket/FAA-2025-1908/document and provides access to primary and supporting documents as well as comments received. Documents are also accessible from Regulations.gov by searching the Docket Number. WTO Members and their stakeholders are asked to submit comments to the USA TBT Enquiry Point. Comments received by the USA TBT Enquiry Point from WTO Members and their stakeholders by 4pmEastern Time on 11 February 2026 will be shared with the FAA and will also be submitted to the Docket on Regulations.gov if received within the comment period._x000D_
</t>
  </si>
  <si>
    <t>Unmanned aircraft systems; Quality (ICS code(s): 03.120); Aircraft and space vehicles in general (ICS code(s): 49.020); On-board equipment and instruments (ICS code(s): 49.090)</t>
  </si>
  <si>
    <t>03.120 - Quality; 49.020 - Aircraft and space vehicles in general; 49.090 - On-board equipment and instruments; 03.120 - Quality; 49.020 - Aircraft and space vehicles in general; 49.090 - On-board equipment and instruments</t>
  </si>
  <si>
    <t>National security requirements (TBT); Protection of human health or safety (TBT); Quality requirements (TBT); Cost saving and productivity enhancement (TBT)</t>
  </si>
  <si>
    <r>
      <rPr>
        <sz val="11"/>
        <rFont val="Calibri"/>
      </rPr>
      <t>https://members.wto.org/crnattachments/2026/TBT/USA/26_00847_00_e.pdf</t>
    </r>
  </si>
  <si>
    <t>KS 2745:2025 Purple tea – Specification</t>
  </si>
  <si>
    <t>This Kenya Standard specifies the parts of Camellia sinensis (Linneaus) O. Kuntze suitable for making purple tea for consumption as a beverage and the chemical requirements used to indicate that tea from that source has been produced in accordance with good production practice. This standard also covers sampling and test methods for purple tea.This standard does not apply to flavoured teas and decaffeinated purple teas.</t>
  </si>
  <si>
    <r>
      <rPr>
        <sz val="11"/>
        <rFont val="Calibri"/>
      </rPr>
      <t>https://members.wto.org/crnattachments/2026/TBT/KEN/26_00849_00_e.pdf</t>
    </r>
  </si>
  <si>
    <t>ISO 11257: Green tea — Definitions and basic requirements</t>
  </si>
  <si>
    <t>TDC 11 CD2 (1941),Leather – Safety boots and safety shoes — Specification, First edition</t>
  </si>
  <si>
    <t> The aim of this addendum is to update WTO Members that the Draft Tanzania Standard, TDC 11 CD2 (1941),Leather – Safety boots and safety shoes — Specification, First edition, notified G/TBT/N/TZA/1006, was adopted by Tanzania on  31 October 2025 as a TZS 4069:2025 Leather – Safety boots and safety shoes — Specification, First edition</t>
  </si>
  <si>
    <t>National Standard of the P.R.C., Regulations concerning road transport of dangerous goods—Part 6:Provisions concerning the conditions of carriage, loading, unloading and handing</t>
  </si>
  <si>
    <t>This document specifies the basic requirements of loading and unloading conditions and operations for the transport of dangerous goods by road, as well as the loading and unloading conditions for package transportation, solid bulk transportation, tank transportation, loading and unloading operation requirements and special requirements for the loading and unloading conditions and operations for temperature-controlled dangerous goods._x000D_
This document applies to the selection of cargo transport units and the requirements for loading and unloading operations.</t>
  </si>
  <si>
    <t>Inorganic chemicals, organic compounds, pharmaceuticals, fertilizers, dyes, essential oils and fragrances, soap, explosives, miscellaneous chemical products (HS code(s): 28; 29; 30; 31; 32; 33; 34; 36; 38); (ICS code(s): 03.220.20)</t>
  </si>
  <si>
    <t>28 - INORGANIC CHEMICALS; ORGANIC OR INORGANIC COMPOUNDS OF PRECIOUS METALS, OF RARE-EARTH METALS, OF RADIOACTIVE ELEMENTS OR OF ISOTOPES; 29 - ORGANIC CHEMICALS; 30 - PHARMACEUTICAL PRODUCTS; 31 - FERTILISERS; 32 - TANNING OR DYEING EXTRACTS; TANNINS AND THEIR DERIVATIVES; DYES, PIGMENTS AND OTHER COLOURING MATTER; PAINTS AND VARNISHES; PUTTY AND OTHER MASTICS; INKS; 33 - ESSENTIAL OILS AND RESINOIDS; PERFUMERY, COSMETIC OR TOILET PREPARATIONS; 34 - SOAP, ORGANIC SURFACE-ACTIVE AGENTS, WASHING PREPARATIONS, LUBRICATING PREPARATIONS, ARTIFICIAL WAXES, PREPARED WAXES, POLISHING OR SCOURING PREPARATIONS, CANDLES AND SIMILAR ARTICLES, MODELLING PASTES, ‘DENTAL WAXES’ AND DENTAL PREPARATIONS WITH A BASIS OF PLASTER; 36 - EXPLOSIVES; PYROTECHNIC PRODUCTS; MATCHES; PYROPHORIC ALLOYS; CERTAIN COMBUSTIBLE PREPARATIONS; 38 - MISCELLANEOUS CHEMICAL PRODUCTS</t>
  </si>
  <si>
    <t>03.220.20 - Road transport</t>
  </si>
  <si>
    <r>
      <rPr>
        <sz val="11"/>
        <rFont val="Calibri"/>
      </rPr>
      <t>https://members.wto.org/crnattachments/2026/TBT/CHN/26_00793_00_x.pdf</t>
    </r>
  </si>
  <si>
    <t>Commission Implementing Regulation (EU) 2026/167 of 26 January 2026 concerning the renewal of the authorisation of clinoptilolite of sedimentary origin as a feed additive for all animal species and repealing Implementing Regulation (EU) No 651/2013 (Text with EEA relevance)</t>
  </si>
  <si>
    <t>The substance covered by the Act was authorised for a period of ten years as a feed additive for all animal species in the additive category ‘technological additives’ and in the functional groups ‘binders’ and ‘anticaking agents’. An application was submitted for the renewal of the authorisation of this substance in accordance with article 14 of Regulation (EC) No 1831/2003. Based on the favourable conclusions of a scientific assessment of the dossier submitted by the applicant, conducted by the European Food Safety Authority (EFSA), the authorisation of this substance as a feed additive for all animal species is renewed under certain conditions detailed in the Annex to the Act.</t>
  </si>
  <si>
    <t>Animal health; Human health; Food safety; Animal diseases</t>
  </si>
  <si>
    <r>
      <rPr>
        <sz val="11"/>
        <rFont val="Calibri"/>
      </rPr>
      <t>https://members.wto.org/crnattachments/2026/SPS/EEC/26_00807_00_e.pdf
https://members.wto.org/crnattachments/2026/SPS/EEC/26_00807_00_f.pdf
https://members.wto.org/crnattachments/2026/SPS/EEC/26_00807_00_s.pdf</t>
    </r>
  </si>
  <si>
    <t>Melon fruit from Japan: biosecurity import requirements draft report</t>
  </si>
  <si>
    <t>The Australian Government Department of Agriculture, Fisheries and Forestry (the department) has published the import conditions for fresh melon fruit from Japan, for human consumption. All varieties of melon fruit (Cucumis melo) are permitted to be imported. This includes muskmelon, rockmelon and honeydew melon. Import is not permitted for oriental melons (C. melo var. makuwa) and oriental pickling melons (C. melo var. utilissimus (syn. C. melo var. conomon)) from Japan.Fresh melons from Japan must be produced under pest area freedom for the fruit fly, Zeugodacus tau, to achieve the appropriate level of protection for Australia. Melon fruit from the Okinawa Prefecture are not permitted to be imported into Australia.Details are available on the department’s website, Import conditions for fresh melons from Japan and in BICON, BICON - Import Conditions</t>
  </si>
  <si>
    <t>Fresh melon fruit</t>
  </si>
  <si>
    <t>080719 - Fresh melons (excl. watermelons); 080719 - Fresh melons (excl. watermelons)</t>
  </si>
  <si>
    <t>Adoption/publication/entry into force of reg.; Pests; Plant health; Pests; Plant health</t>
  </si>
  <si>
    <t>Proposal to update the regulatory requirements concerning the safety of restraint systems and vehicle anchorages (2026)7 documents totalling 173 pages (available in English and French)Consultation (2 pages)Background (9 pages)Proposed TSD 213a: Child restraint systems – side impact protection (21 pages)Proposed TSD 213b: Child restraint systems (69 pages)Proposed TSD 225: Child restraint anchorage systems (52 pages)Proposed Motor Vehicle Restraint Systems and Booster Seats Safety Regulations (17 pages)Proposed Motor Vehicle Safety Regulations (3 pages)</t>
  </si>
  <si>
    <t>Transport Canada wants to improve child passenger safety and update the regulatory requirements for the safety of restraint systems and vehicle anchorages.  Transport Canada is requesting feedback on its approach to updating the relevant regulations.</t>
  </si>
  <si>
    <t>Motor Vehicles for Transporting Persons HS 8703, Seats Of A Kind Used For Motor Vehicles HS 9401.20</t>
  </si>
  <si>
    <t>940120 - Seats for motor vehicles; 8703 - Motor cars and other motor vehicles principally designed for the transport of &lt;10 persons, incl. station wagons and racing cars (excl. motor vehicles of heading 8702)</t>
  </si>
  <si>
    <t>Transport Canada is developing amendments to update the regulatory requirements for the safety of restraint systems and vehicle anchorages, and to introduce technical standard documents (TSD) to align with the recent United States (U.S.) regulatory changes.  </t>
  </si>
  <si>
    <t>Not Applicable, given it is a consultation. Decisions still need to be made for the date of adoption, and for the date of entry into force (consultation dependent).</t>
  </si>
  <si>
    <r>
      <rPr>
        <sz val="11"/>
        <rFont val="Calibri"/>
      </rPr>
      <t>https://tc.canada.ca/en/corporate-services/consultations/proposal-update-regulatory-requirements-concerning-safety-restraint-systems-vehicle-anchorages</t>
    </r>
  </si>
  <si>
    <t>Transport Canada website: (link to consultation and all relevant documents) https://tc.canada.ca/en/corporate-services/consultations/proposal-update-regulatory-requirements-concerning-safety-restraint-systems-vehicle-anchorages, (available in English and French).</t>
  </si>
  <si>
    <t>National Standard of the P.R.C., Regulations concerning road transport of dangerous goods —Part 2：Classification</t>
  </si>
  <si>
    <t>This document specifies the classification of the transport of dangerous goods by road, including general requirements and specific provisions for classification._x000D_
This document applies to the determination of categories of dangerous goods, their corresponding hazard types (groups) and packaging categories.</t>
  </si>
  <si>
    <r>
      <rPr>
        <sz val="11"/>
        <rFont val="Calibri"/>
      </rPr>
      <t>https://members.wto.org/crnattachments/2026/TBT/CHN/26_00789_00_x.pdf</t>
    </r>
  </si>
  <si>
    <t>Draft Administrative Order on the General Guidelines on the Regulatory Compliance of Food Contact Articles (FCA) Used for Prepackaged Processed Food Products</t>
  </si>
  <si>
    <t>This Administrative Order aims to ensure the safety of FCA used for food to protect consumer health. Specifically, this Order aims to:_x000D_
A. Establish clear regulatory guidelines for FBOs on ensuring compliance of FCA used in the manufacture and distribution of prepackaged processed food products with applicable safety and quality standards._x000D_
B. Prevent adulteration of prepackaged processed food products due to migrating substances by ensuring FCA comply with safety and quality standards._x000D_
C. Strengthen regulatory oversight and post-market surveillance of FCA used in prepackaged processed food products.</t>
  </si>
  <si>
    <r>
      <rPr>
        <sz val="11"/>
        <rFont val="Calibri"/>
      </rPr>
      <t>https://members.wto.org/crnattachments/2026/TBT/PHL/26_00827_00_e.pdf</t>
    </r>
  </si>
  <si>
    <t>Food Safety Act of 2013FDA Circular 2022-011 or the Guidelines on the Application and Issuance of Voluntary Certification of Food Contact Articles (FCA) Used for Prepackaged Processed Food Products</t>
  </si>
  <si>
    <t>National Standard of the P.R.C., Regulations concerning road transport of dangerous goods —Part 7: Transport conditions and operational requirements</t>
  </si>
  <si>
    <t>This document specifies the requirements for transportation equipment, personnel qualifications, transportation operation procedures, and emergency response measures for the road transportation of dangerous goods._x000D_
This document applies to the transportation operations of dangerous goods by road.</t>
  </si>
  <si>
    <r>
      <rPr>
        <sz val="11"/>
        <rFont val="Calibri"/>
      </rPr>
      <t>https://members.wto.org/crnattachments/2026/TBT/CHN/26_00794_00_x.pdf</t>
    </r>
  </si>
  <si>
    <t>Electronics and Information Technology Goods (Requirements for Compulsory Registration) Order, 2012 has been notified by the Department of Electronics &amp; Information Technology vide Notification No. 8(14)/2006(Vol.III) dated 7th September</t>
  </si>
  <si>
    <t>Extension in timelines for the implementation of the Orderfor product categories included in the schedule of CRO vide S.O. 1929(E) published in Gazette of India on 26th April, 2023India had notified the "Electronics and Information Technology Goods (Requirements for Compulsory Registration) Order, 2021" to the WTO in document G/TBT/N/IND/44. The Order was suppressed by the "Electronics and Information Technology Goods (Requirements for Compulsory Registration) Order, 2021" notified under the Bureau of Indian Standards Act, 2016.The Notification for adding compliance of TV Sets with IS 18112:2022 (Digital Television Receiver for Satellite Broadcast Transmission —Specification) to the schedule of "Electronics and Information Technology Goods (Requirement of Compulsory Registration) Order, 2021” (CRO-2021) was published vide S.O. No. 1929 (E) dated 26.04.2023 in the Gazette of India on 26th April, 2023. The Order was scheduled to come into effect from 26th January 2026.In continuation of the said WTO notification, India would like to inform that the implementation date of the Notification S.O. 1929 (E) dated 26.04.2023 has been extended from 26th January 2026 to 26th July 2026 through Gazette Notification S.O. 352(E) dated 22nd January 2026.The document is available at the website of MeitY https://www.meity.gov.in/static/uploads/2026/01/8e1933f761d2f503732a9a81a871af14.pdf</t>
  </si>
  <si>
    <t>List of 15 Products notified in Schedule to the Electronics and Information Technology Goods (Requirements for Compulsory Registration) Order, 2012</t>
  </si>
  <si>
    <t>33 - TELECOMMUNICATIONS. AUDIO AND VIDEO ENGINEERING; 33 - TELECOMMUNICATIONS. AUDIO AND VIDEO ENGINEERING; 35 - INFORMATION TECHNOLOGY. OFFICE MACHINES; 35 - INFORMATION TECHNOLOGY. OFFICE MACHINES</t>
  </si>
  <si>
    <t>Protection of human health and safety</t>
  </si>
  <si>
    <t>National Standard of the P.R.C., Regulations concerning road transport of dangerous goods —Part 3: Index of dangerous goods name and transport requirement</t>
  </si>
  <si>
    <t>This document specifies the naming requirement for dangerous goods transported by road, the structure and content of dangerous goods list for road transportation, as well as the road transport requirement for dangerous goods packed in limited quantities and dangerous goods packed in excepted quantities.  _x000D_
This document applies to the road transport of dangerous goods.</t>
  </si>
  <si>
    <r>
      <rPr>
        <sz val="11"/>
        <rFont val="Calibri"/>
      </rPr>
      <t>https://members.wto.org/crnattachments/2026/TBT/CHN/26_00790_00_x.pdf</t>
    </r>
  </si>
  <si>
    <t>National Standard of the P.R.C., Regulations concerning road transport of dangerous goods — Part 4: Provisions for the use of transport packagings</t>
  </si>
  <si>
    <t>This document specifies the requirements for the use of packaging, intermediate bulk containers (IBC), large packaging, portable tank, tank container transported by road, tank swap body transported by road, multiple-element gas containers (MEGCs), tank of tank-vehicle, and bulk containers in the road transport of dangerous goods._x000D_
This document applies to the selection and use of packaging for the road transport of dangerous goods.</t>
  </si>
  <si>
    <r>
      <rPr>
        <sz val="11"/>
        <rFont val="Calibri"/>
      </rPr>
      <t>https://members.wto.org/crnattachments/2026/TBT/CHN/26_00791_00_x.pdf</t>
    </r>
  </si>
  <si>
    <t>The implementation of the "Quarantine Requirements for the Importation of US processing potatoes"</t>
  </si>
  <si>
    <t>The Separate Customs Territory of Taiwan, Penghu, Kinmen and Matsu notified the draft of the "Quarantine Requirements for the Importation of US processing potatoes" on 21 January 2026 (G/SPS/N/TPKM/657). The regulation was published and became effective on 6 February 2026.</t>
  </si>
  <si>
    <t>Potatoes for processing purposes</t>
  </si>
  <si>
    <t>Territory protection; Plant health; Adoption/publication/entry into force of reg.; Territory protection; Plant health</t>
  </si>
  <si>
    <t>National Organic Program: 2026 Sunset Review and Substance 
Renewals</t>
  </si>
  <si>
    <t>2026 sunset review and substance renewals - This document announces the renewal of 56 substances for another 5 years past the first sunset date of 26 July 2026, as listed on the National List of Allowed and Prohibited Substances within the U.S. Department of Agriculture's (USDA) organic regulations. This document reflects the outcome of the 2026 sunset review processes and addresses recommendations submitted to the Secretary of Agriculture, through the USDA's Agricultural Marketing Service, by the National Organic Standards Board. The substances renewed in this notice currently have three sunset dates: 26 July 2026 (3 substances: oxalic acid dihydrate, pullulan, and collagen gel); 12 September 2026 (52 substances not covered by the July or October sunset dates); and 30 October 2029 (1 substance: tolazoline). Tolazoline was originally scheduled to be reviewed by the NOSB in 2027 but was reviewed early to align with xylazine as they are generally used together.  A new sunset date for other substances is outlined in the header for Table 1 included in the document provided for this notification.</t>
  </si>
  <si>
    <t>Substances used in the production of organic crops, livestock, and products; Quality (ICS code(s): 03.120); Plant growing (ICS code(s): 65.020.20); Animal husbandry and breeding (ICS code(s): 65.020.30); Processes in the food industry (ICS code(s): 67.020); Organic chemicals in general (ICS code(s): 71.080.01); Other products of the chemical industry (ICS code(s): 71.100.99)</t>
  </si>
  <si>
    <t>03.120 - Quality; 65.020.20 - Plant growing; 65.020.30 - Animal husbandry and breeding; 67.020 - Processes in the food industry; 71.080.01 - Organic chemicals in general; 71.100.99 - Other products of the chemical industry</t>
  </si>
  <si>
    <r>
      <rPr>
        <sz val="11"/>
        <rFont val="Calibri"/>
      </rPr>
      <t>https://members.wto.org/crnattachments/2026/TBT/USA/26_00824_00_e.pdf</t>
    </r>
  </si>
  <si>
    <t xml:space="preserve">91 Federal Register (FR) 5666, 9 February 2026; Title 7 Code of Federal Regulations (CFR) Part 205_x000D_
https://www.govinfo.gov/content/pkg/FR-2026-02-09/html/2026-02548.htm_x000D_
https://www.govinfo.gov/content/pkg/FR-2026-02-09/pdf/2026-02548.pdfThis 2026 sunset review and substance renewals is identified by Docket Number AMS-NOP-25-0089. The Docket Folder is available on Regulations.gov at https://www.regulations.gov/docket/AMS-NOP-25-0089/document and provides access to the primary document. Documents are also accessible from Regulations.gov by searching the Docket Number. Alternative if above docket folder link does not work: https://www.regulations.gov/document/AMS_FRDOC_0001-2685_x000D_
_x000D_
</t>
  </si>
  <si>
    <t>Honduras</t>
  </si>
  <si>
    <t>Regulations on surveillance, diagnosis, pest risk analysis and phytosanitary campaignsThe Republic of Honduras hereby notifies the extension of the period for comments given in the notification G/SPS/N/HND/24/Add.1 of 12 December 2025, concerning the Regulations on surveillance, diagnosis, pest risk analysis and phytosanitary campaigns.The final date for comments has been extended to 12 March 2026.https://sde.gob.hn/wp-content/uploads/2025/12/Reglamento-de-Vigilancia-Diagnostico-Analisis-de-Riesgo-de-Plagas-y-Campanas-Fitosanitarias.pdf</t>
  </si>
  <si>
    <t>Products of plant origin</t>
  </si>
  <si>
    <t>08 - EDIBLE FRUIT AND NUTS; PEEL OF CITRUS FRUITS OR MELONS; 07 - EDIBLE VEGETABLES AND CERTAIN ROOTS AND TUBERS; 06 - LIVE TREES AND OTHER PLANTS; BULBS, ROOTS AND THE LIKE; CUT FLOWERS AND ORNAMENTAL FOLIAGE; 08 - EDIBLE FRUIT AND NUTS; PEEL OF CITRUS FRUITS OR MELONS; 07 - EDIBLE VEGETABLES AND CERTAIN ROOTS AND TUBERS; 06 - LIVE TREES AND OTHER PLANTS; BULBS, ROOTS AND THE LIKE; CUT FLOWERS AND ORNAMENTAL FOLIAGE</t>
  </si>
  <si>
    <t>Plant health; Pests; Modification of final date for comments; Territory protection; Plant health; Territory protection; Pests</t>
  </si>
  <si>
    <r>
      <rPr>
        <sz val="11"/>
        <rFont val="Calibri"/>
      </rPr>
      <t>https://sde.gob.hn/wp-content/uploads/2025/12/Reglamento-de-Vigilancia-Diagnostico-Analisis-de-Riesgo-de-Plagas-y-Campanas-Fitosanitarias.pdf</t>
    </r>
  </si>
  <si>
    <t>Draft Commission Delegated Regulation supplementing Regulation (EU) 2016/2031 of the European Parliament and of the Council as regards the procedure to be followed to grant temporary derogations from the prohibition provided for in Article 40(1) and from the requirements referred to in Article 41(1) thereof</t>
  </si>
  <si>
    <t>The draft legal act prescribes the procedure to be followed to grant temporary derogations from import prohibitions or from special import requirements in particular, including the content and submission of the requests and their accompanying dossiers, as well as their assessment.</t>
  </si>
  <si>
    <t>Plants, plant products and other objects (HS chapters: 06 (live plants), 07 (vegetables), 08 (fruits), 10 (cereals), 12 (seeds), 14 (pollen), 44 (wood), 84 (machinery), 87 (vehicles))</t>
  </si>
  <si>
    <t>06 - LIVE TREES AND OTHER PLANTS; BULBS, ROOTS AND THE LIKE; CUT FLOWERS AND ORNAMENTAL FOLIAGE; 07 - EDIBLE VEGETABLES AND CERTAIN ROOTS AND TUBERS; 08 - EDIBLE FRUIT AND NUTS; PEEL OF CITRUS FRUIT OR MELONS; 10 - CEREALS; 12 - OIL SEEDS AND OLEAGINOUS FRUITS; MISCELLANEOUS GRAINS, SEEDS AND FRUIT; INDUSTRIAL OR MEDICINAL PLANTS; STRAW AND FODDER; 14 - VEGETABLE PLAITING MATERIALS; VEGETABLE PRODUCTS NOT ELSEWHERE SPECIFIED OR INCLUDED; 44 - WOOD AND ARTICLES OF WOOD; WOOD CHARCOAL; 84 - NUCLEAR REACTORS, BOILERS, MACHINERY AND MECHANICAL APPLIANCES; PARTS THEREOF; 87 - VEHICLES OTHER THAN RAILWAY OR TRAMWAY ROLLING STOCK, AND PARTS AND ACCESSORIES THEREOF</t>
  </si>
  <si>
    <t>This Regulation shall enter into force on the twentieth day following that of its publication in the Official Journal of the European Union.</t>
  </si>
  <si>
    <r>
      <rPr>
        <sz val="11"/>
        <rFont val="Calibri"/>
      </rPr>
      <t>https://members.wto.org/crnattachments/2026/SPS/EEC/26_00806_00_e.pdf</t>
    </r>
  </si>
  <si>
    <t>Modification to the List of Permitted Food Additives with Other Purposes of Use (silicon dioxide)</t>
  </si>
  <si>
    <t>Health Canada's Food and Nutrition Directorate completed a premarket safety assessment of a food additive submission seeking authorization for the use of silicon dioxide in sugar at a maximum level of use of 2,000 ppm. The purpose of using the silicon dioxide is to increase the dissolution rate of the sugar.The results of the premarket assessment support the safety of silicon dioxide for its requested use. Consequently, Health Canada has authorized the use of silicon dioxide as described in the notified information document by modifying the List of Permitted Food Additives with Other Purposes of Use https://www.canada.ca/en/health-canada/services/food-nutrition/food-safety/food-additives/lists-permitted/8-other-accepted-uses.html), effective 4 February 2026. The purpose of the information is to publicly announce the Department's decision in this regard and to provide the appropriate contact information for those wishing to submit an inquiry or new scientific information relevant to the safety of this food additive.</t>
  </si>
  <si>
    <t>Silicon dioxide (ICS code: 67.220.20)</t>
  </si>
  <si>
    <t>The modification to the food additive’s permitted use is legally enabled once published in Health Canada's Lists of Permitted Food Additives (https://www.canada.ca/en/health-canada/services/food-nutrition/food-safety/food-additives/lists-permitted.html</t>
  </si>
  <si>
    <t>The food additive modification noted in this document comes into force the day it is made to the Lists of Permitted Food Additives (https://www.canada.ca/en/health-canada/services/food-nutrition/food-safety/food-additives/lists-permitted.html</t>
  </si>
  <si>
    <t>Proyecto de Resolución Directoral para el establecimiento de requisitos fitosanitarios de necesario cumplimiento en la importación de semillas de culantro (Coriandrum sativum) de origen y procedencia Chile (Draft Directorial Resolution establishing the mandatory phytosanitary requirements for the importation of coriander (Coriandrum sativum) seeds originating in and coming from Chile)</t>
  </si>
  <si>
    <t>The notified draft Directorial Resolution sets out the phytosanitary requirements for the importation into Peru of coriander (Coriandrum sativum) seeds originating in and coming from Chile, following the completion of the relevant pest risk analysis.</t>
  </si>
  <si>
    <t>Seeds of coriander (Coriandrum sativum) (HS code: 090921)</t>
  </si>
  <si>
    <t>090921 - Coriander seeds, neither crushed nor ground</t>
  </si>
  <si>
    <r>
      <rPr>
        <sz val="11"/>
        <rFont val="Calibri"/>
      </rPr>
      <t>https://members.wto.org/crnattachments/2026/SPS/PER/26_00825_00_s.pdf
El texto lo puede descargar de la página web del SENASA
 cuya ruta es la siguiente: https://www.gob.pe/institucion/senasa/campa%C3%B1as/4831-consulta-publica-de-importaciones-agricolas</t>
    </r>
  </si>
  <si>
    <t>National Standard of the P.R.C., Regulations concerning road transport of dangerous goods —Part 5: Consignment requirement</t>
  </si>
  <si>
    <t>This document specifies the general requirements for the transport of dangerous goods by road, as well as the marks and labels for packages, marks and labels for composite packaging and mixed packaging, placards, and requirements for transport documents._x000D_
This document applies to the transport of dangerous goods by road.</t>
  </si>
  <si>
    <r>
      <rPr>
        <sz val="11"/>
        <rFont val="Calibri"/>
      </rPr>
      <t>https://members.wto.org/crnattachments/2026/TBT/CHN/26_00792_00_x.pdf</t>
    </r>
  </si>
  <si>
    <t>Ordinance No. 845, 12 December 2025</t>
  </si>
  <si>
    <t>Rectification of Inmetro Ordinance No. 845 of 12/12/2025, regarding New Tires, published in the Official Gazette of the Union on December 16, 2025, page 41, section 1.</t>
  </si>
  <si>
    <t>Tyres (HS 4011).</t>
  </si>
  <si>
    <t>4011 - New pneumatic tyres, of rubber; 4011 - New pneumatic tyres, of rubber; 4011 - New pneumatic tyres, of rubber</t>
  </si>
  <si>
    <t>83.160 - Tyres; 83.160 - Tyres; 83.160 - Tyres</t>
  </si>
  <si>
    <t>Consumer's safety.</t>
  </si>
  <si>
    <r>
      <rPr>
        <sz val="11"/>
        <rFont val="Calibri"/>
      </rPr>
      <t>https://members.wto.org/crnattachments/2026/TBT/BRA/26_00778_00_x.pdf</t>
    </r>
  </si>
  <si>
    <t>National Standard of the P.R.C., Regulations concerning road transport of dangerous goods —Part 1: General provisions</t>
  </si>
  <si>
    <t>This document specifies the basic transport conditions and exemptions for road transport of dangerous goods, as well as requirements for multimodal transport, personnel safety training, safety of participating parties, and high-risk dangerous goods._x000D_
This document applies to road transport of dangerous goods.</t>
  </si>
  <si>
    <r>
      <rPr>
        <sz val="11"/>
        <rFont val="Calibri"/>
      </rPr>
      <t>https://members.wto.org/crnattachments/2026/TBT/CHN/26_00787_00_x.pdf</t>
    </r>
  </si>
  <si>
    <t>Listing of Color Additives Exempt From Certification; Beetroot Red; Final Amendment; Order</t>
  </si>
  <si>
    <t>The Food and Drug Administration (FDA or we) is amending the color additive regulations to provide for the safe use of beetroot red for the coloring of human foods generally, at levels consistent with current good manufacturing practice, except in products under the jurisdiction of the United States Department of Agriculture (USDA), infant formula, or foods for which standards of identity have been issued under section 401 of the Federal Food, Drug, and Cosmetic Act (FD&amp;C Act), unless the use of the added color is authorized by such standards. We are taking this action in response to a color additive petition (CAP) submitted by Phytolon, Ltd. (Phytolon or petitioner).This order is effective 23 March 2026. See section XI for further information on the filing of objections. Submit either electronic or written objections and requests for a hearing on the order by 9 March 2026.</t>
  </si>
  <si>
    <t>67 - FOOD TECHNOLOGY; 67 - Food technology</t>
  </si>
  <si>
    <t>Food additives; Adoption/publication/entry into force of reg.; Food safety; Human health; Food additives; Food safety; Human health</t>
  </si>
  <si>
    <r>
      <rPr>
        <sz val="11"/>
        <rFont val="Calibri"/>
      </rPr>
      <t>https://members.wto.org/crnattachments/2026/SPS/USA/26_00779_00_e.pdf
https://www.federalregister.gov/d/2026-02313</t>
    </r>
  </si>
  <si>
    <t>RTCR 524:2025 Materiales de construcción. Aislamiento térmico reflectivo en aplicaciones constructivas. Especificaciones, métodos de ensayo y etiquetado”</t>
  </si>
  <si>
    <t>The notified standard establishes the labelling requirements, specifications, and testing methods that reflective thermal insulation must meet in construction applications, and that are to be used in the country. It also applies to all reflective thermal insulation manufactured, imported, distributed, marketed or used in Costa Rica.</t>
  </si>
  <si>
    <t>(Código(s) de la ICS: 91) AISLANTES TERMICOS REFLECTIVOS.</t>
  </si>
  <si>
    <t>91 - Construction materials and building</t>
  </si>
  <si>
    <t>To be determined; upon publication in the Official Journal, La Gaceta</t>
  </si>
  <si>
    <t>Doce (12) meses después de su adopción.</t>
  </si>
  <si>
    <r>
      <rPr>
        <sz val="11"/>
        <rFont val="Calibri"/>
      </rPr>
      <t xml:space="preserve">https://members.wto.org/crnattachments/2026/TBT/CRI/26_00783_00_s.pdf
</t>
    </r>
  </si>
  <si>
    <t>• MEIC Executive Decree No. 36463, of 26 November 2010, Technical Regulation RTCR 443:2010 Metrología. Unidades de Medidas Sistema Internacional (SI), published in Official Journal, La Gaceta, No. 56 of 21 March 2011.• MEIC Executive Decree No. 44395, of 31 January 2024, Procedimiento para Demostrar la Equivalencia con un Reglamento Técnico de Costa Rica o Centroamericano, published in the Official Journal, La Gaceta, No. 55 of 22 March 2024.• Norma INTE C289. Aislamiento térmico reflectivo para aplicaciones constructivas. Especificaciones.• Norma INTE C293. Terminología relacionada al Aislamiento Térmico.• INTE/ISO 6946. Building components and building elements. Thermal resistance and thermal transmittance. Calculation methods.• ASTM C1371. Standard Test Method for Determination of Emittance of Materials Near Room Temperature Using Portable Emissometers.• ASTM C518. Standard Test Method for Steady-State Thermal Transmission Properties by Means of the Heat Flow Meter Apparatus.</t>
  </si>
  <si>
    <t>Kiwifruit Grown in California and Imported Kiwifruit; 
Modification of Handling Regulations</t>
  </si>
  <si>
    <t>Proposed rule - This proposed rule would implement a recommendation from the Kiwifruit Administrative Committee (Committee) to update the handling regulations for kiwifruit grown in California. Consistent with the Committee's proposal, this rulemaking seeks to amend the Size Designation and Size Variation chart located in the pack requirements of the Marketing Order and relax the minimum size requirements for all kiwifruit varieties, except for those of the Actinidia chinensis species. This rule also proposes to make a corresponding change to the size requirements under the kiwifruit import regulation, as required under section 8e of the Agricultural Marketing Agreement Act of 1937</t>
  </si>
  <si>
    <t>Kiwifruit; Fresh kiwifruit (HS code(s): 081050); Fruits. Vegetables (ICS code(s): 67.080)</t>
  </si>
  <si>
    <t>081050 - Fresh kiwifruit</t>
  </si>
  <si>
    <r>
      <rPr>
        <sz val="11"/>
        <rFont val="Calibri"/>
      </rPr>
      <t>https://members.wto.org/crnattachments/2026/TBT/USA/26_00782_00_e.pdf</t>
    </r>
  </si>
  <si>
    <t>91 Federal Register (FR) 5365, 6 February 2026; Title 7 Code of Federal Regulations (CFR) Parts 920 and 944_x000D_
https://www.govinfo.gov/content/pkg/FR-2026-02-06/html/2026-02372.htm_x000D_
https://www.govinfo.gov/content/pkg/FR-2026-02-06/pdf/2026-02372.pdfThis proposed rule is identified by Docket Number AMS-SC-24-0044. The Docket Folder is available from Regulations.gov at https://www.regulations.gov/document/AMS_FRDOC_0001-2684 and provides access to primary documents as well as comments received. Documents are also accessible from Regulations.gov by searching the Docket Number. Previous actions notified under the symbol G/TBT/N/USA/1879 are identified by Docket Number AMS-SC-21-0098. The Docket Folder is available from Regulations.gov at https://www.regulations.gov/docket/AMS-SC-21-0098/document and provides access to primary documents as well as comments received. Documents are also accessible from Regulations.gov by searching the Docket Number. </t>
  </si>
  <si>
    <t>The DLD order on temporary suspension of the importation or transit of live poultry and poultry carcasses from Indonesia to prevent the spread of High Pathogenic Avian Influenza</t>
  </si>
  <si>
    <t>Thailand proposes an amendment to the Department of Livestock Development (DLD) Order on temporary suspension of the importation or transit of live poultry and poultry carcasses from Indonesia to prevent the spread of High Pathogenic Avian Influenza by adding paragraph (2) as follows:The WOAH has reported an outbreak of High Pathogenic Avian Influenza (Subtype H5N1) in the area of Indonesia. Therefore, it is necessary for Thailand to prevent the entry of High Pathogenic Avian Influenza (Subtype H5N1) into the country. By the virtue of the Animal Epidemics Act B.E. 2558 (2015), the importation or transit of live poultry and poultry carcasses from Indonesia has been temporarily suspended.     2. Where live poultry and poultry carcasses from Indonesia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poultry or poultry carcasses into or through Thailand.</t>
  </si>
  <si>
    <t>Live poultry and poultry carcasses under Animal Epidemics Act B.E. 2558 (2015)</t>
  </si>
  <si>
    <t>0207 - Meat and edible offal of fowls of the species Gallus domesticus, ducks, geese, turkeys and guinea fowls, fresh, chilled or frozen; 0105 - Live poultry, "fowls of the species Gallus domesticus, ducks, geese, turkeys and guinea fowls"; 0105 - Live poultry, "fowls of the species Gallus domesticus, ducks, geese, turkeys and guinea fowls"; 0207 - Meat and edible offal of fowls of the species Gallus domesticus, ducks, geese, turkeys and guinea fowls, fresh, chilled or frozen</t>
  </si>
  <si>
    <t>Modification of content/scope of regulation; Avian Influenza; Animal health; Animal diseases; Avian Influenza; Animal health; Animal diseases</t>
  </si>
  <si>
    <t>Listing of Color Additives Exempt From Certification; Spirulina Extract; Final Amendment; Order</t>
  </si>
  <si>
    <t>The Food and Drug Administration (FDA or we) is amending the color additive regulations to provide for the expanded use of spirulina (Arthrospira platensis) extract as a color additive in human foods generally (except for infant formula, certain foods subject to regulation by the US Department of Agriculture, and foods for which standards of identity have been issued under section 401 of the Federal Food, Drug, and Cosmetic Act, unless the use of the added color is authorized by such standards) at levels consistent with good manufacturing practice (GMP), to lower the heavy metal specifications for lead, arsenic, and mercury, and to add a specification for cadmium. We are taking this action in response to a color additive petition (CAP) submitted by GNT USA, LLC (GNT or petitioner).DATES: This order is effective 23 March 2026. See section IX of this document for further information on the filing of objections. Either electronic or written objections and requests for a hearing on the order must be submitted by 9 March 2026.</t>
  </si>
  <si>
    <r>
      <rPr>
        <sz val="11"/>
        <rFont val="Calibri"/>
      </rPr>
      <t>https://members.wto.org/crnattachments/2026/SPS/USA/26_00780_00_e.pdf
https://www.federalregister.gov/d/2026-02314</t>
    </r>
  </si>
  <si>
    <t>Updating the Canada Motor Vehicle Safety Standard requirements for the introduction of the Parasitic Tread Block Chunking (PTBC) definition (1 document totalling 20 pages, available in English and French): Proposed Technical Standards Document 139 (Changes can be found on page [1, 2, 11, 12, 14, 16]) </t>
  </si>
  <si>
    <t>Transport Canada is considering updating the Motor Vehicle Tire Safety RegulationsTransport Canada is proposing to update the Technical Standards Document (TSD) 139 referenced in the Motor Vehicle Safety Tire Regulations (MVTSR) pertaining to new passenger car tires. </t>
  </si>
  <si>
    <t>New pneumatic tyres, of rubber (HS code(s): 4011)</t>
  </si>
  <si>
    <t>4011 - New pneumatic tyres, of rubber</t>
  </si>
  <si>
    <t>Transport Canada is considering these changes to the Motor Vehicle Tire Safety RegulationsThe objective of this update is to change TSD 139 to accommodate PTBC for winter tires. The change adds the definition of PTBC to TSD 139 as a non-failure mode. This definition matches international standards. Normal tire chunking will remain a valid failure mode.  </t>
  </si>
  <si>
    <t>On the date of publication of the TSD.</t>
  </si>
  <si>
    <t>The TSD would come into force 6 months after the day on which it is published.</t>
  </si>
  <si>
    <r>
      <rPr>
        <sz val="11"/>
        <rFont val="Calibri"/>
      </rPr>
      <t>https://tc.canada.ca/en/corporate-services/consultations/update-tsd-139-parasitic-tread-block-chunking-ptbc</t>
    </r>
  </si>
  <si>
    <t>Transport Canada website: (link to consultation and all relevant documents): https://tc.canada.ca/en/corporate-services/consultations/update-tsd-139-parasitic-tread-block-chunking-ptbc, (available in English and French).</t>
  </si>
  <si>
    <t>Draft Circular stipulating regulations on traceability of goods and products under the management of Ministry of Industry and Trade (14 page(s), in Vietnamese)</t>
  </si>
  <si>
    <t>This Draft Circular stipulates requirements for products and goods traceability applicable to products and goods under the management of the Ministry of Industry and Trade.The Draft Circular provides provisions on:- Principles and methods of product identification and traceability;- Minimum information requirements for traceability data;- Responsibilities of traders producing, trading, and importing goods;- Establishment, operation and connection of internal traceability systems with the Traceability System of the Ministry of Industry and Trade;- Consumer access to traceability information;- Management, suspension and revocation of traceability codes;- Implementation roadmap and transitional provisions.</t>
  </si>
  <si>
    <t>Products and goods with high risk levels subject to traceability requirements under the management scope of the Ministry of Industry and Trade of Viet Nam.(HS codes: not specified; applies to multiple product categories)</t>
  </si>
  <si>
    <t>Protecting consumers’ legitimate rights and interests; ensuring product quality and safety; enhancing transparency and traceability throughout supply chains; preventing fraud, misrepresentation of origin and unfair trade practices; supporting digital transformation and effective state management; and  ensuring consistency with relevant national laws and international commitments to which Viet Nam is a party.</t>
  </si>
  <si>
    <r>
      <rPr>
        <sz val="11"/>
        <rFont val="Calibri"/>
      </rPr>
      <t>https://members.wto.org/crnattachments/2026/TBT/VNM/26_00784_00_x.pdf</t>
    </r>
  </si>
  <si>
    <t>* Law on Product and Goods Quality No. 05/2007/QH12, as amended by Law No. 78/2025/QH15;* Law on Consumer Protection No. 19/2023/QH15;* Law on Electronic Transactions No. 20/2023/QH15;* Decree No. 37/2026/ND-CP detailing the implementation of the Law on Product and Goods Quality;* Other relevant legal documents.</t>
  </si>
  <si>
    <t>DEAS 1097:2022, Cattle feedlot operations — Specification, First Edition</t>
  </si>
  <si>
    <t>The aim of this addendum is to update WTO Members that the Draft East African Standard, DEAS 1097:2022, Cattle feedlot operations — Specification, First Edition, notified  G/TBT/N/BDI/243, G/TBT/N/KEN/1262, G/TBT/N/RWA/673, G/TBT/N/TZA/783, G/TBT/N/UGA/1597, was adopted by Tanzania on  31 October 2025 as a TZS 4053:2025/EAS 1097:2023, Cattle feedlot operations — Specification, First Edition</t>
  </si>
  <si>
    <t>- - Other (HS code(s): 010229); Livestock buildings, installations and equipment (ICS code(s): 65.040.10)</t>
  </si>
  <si>
    <t>010229 - Live cattle (excl. pure-bred for breeding); 010229 - Live cattle (excl. pure-bred for breeding)</t>
  </si>
  <si>
    <t>65.040.10 - Livestock buildings, installations and equipment; 65.040.10 - Livestock buildings, installations and equipment</t>
  </si>
  <si>
    <t>Prevention of deceptive practices and consumer protection (TBT); Protection of animal or plant life or health (TBT)</t>
  </si>
  <si>
    <t>Animal health; Animal health</t>
  </si>
  <si>
    <t>DEAS 1095:2022, Dairy cattle feed premix — Specification, First Edition</t>
  </si>
  <si>
    <t>The aim of this addendum is to update WTO Members that the Draft East African Standard, DEAS 1095:2022, Dairy cattle feed premix — Specification, First Edition, notified G/TBT/N/BDI/242, G/TBT/N/KEN/1261, G/TBT/N/RWA/672, G/TBT/N/TZA/782, G/TBT/N/UGA/1595, was adopted by Tanzania on  31 October 2025 as a TZS 2045:2025/EAS 1095:2023, Dairy cattle feed premix — Specification, First Edition</t>
  </si>
  <si>
    <t>- Other (HS code(s): 230990); Animal feeding stuffs (ICS code(s): 65.120)</t>
  </si>
  <si>
    <t>230990 - Preparations of a kind used in animal feeding (excl. dog or cat food put up for retail sale); 230990 - Preparations of a kind used in animal feeding (excl. dog or cat food put up for retail sale)</t>
  </si>
  <si>
    <t>Consumer information, labelling (TBT); Prevention of deceptive practices and consumer protection (TBT); Protection of human health or safety (TBT); Protection of animal or plant life or health (TBT); Quality requirements (TBT)</t>
  </si>
  <si>
    <t>Animal feed; Animal feed</t>
  </si>
  <si>
    <t>Vitamins and Minerals Permitted in Food Products</t>
  </si>
  <si>
    <t>This draft technical regulation concerns the fortification of food products with vitamins and minerals to improve the nutritional value of the product.</t>
  </si>
  <si>
    <t>Consumer information, labelling (TBT); Other (TBT)</t>
  </si>
  <si>
    <t>Nutrition</t>
  </si>
  <si>
    <r>
      <rPr>
        <sz val="11"/>
        <rFont val="Calibri"/>
      </rPr>
      <t>https://members.wto.org/crnattachments/2026/TBT/SAU/26_00740_00_x.pdf</t>
    </r>
  </si>
  <si>
    <t>Guideline: fortification of wheat flour with vitamins and minerals as a public health strategyGuidelines on food fortification with micronutrients</t>
  </si>
  <si>
    <t>Measures against the entry into, and the presence in the Union territory of Anoplophora glabripennis (Motschulsky) and Anoplophora chinensis (Forster)</t>
  </si>
  <si>
    <t>The proposal notified in G/SPS/N/EU/842 (19 March 2025) is now adopted by Commission Implementing Regulation (EU) 2025/1953 of 29 September 2025 amending Annexes VII, VIII, XI and XIII to Implementing Regulation (EU) 2019/2072 as regards measures against the entry into, and the presence in the Union territory of Anoplophora glabripennis (Motschulsky) and Anoplophora chinensis (Forster).This Regulation shall enter into force on the twentieth day following that of its publication in the Official Journal of the European Union.</t>
  </si>
  <si>
    <t>Plants for planting, that have a stem or root collar diameter of 1 cm or more at their thickest point, Acer spp., Aesculus spp., Betula spp., Fraxinus spp., Populus spp., Salix spp. and Ulmus spp. for Anoplophora glabripennis (Motschulsky) - (HS Chapters: 06 (live plants)Plants for planting, that have a stem or root collar diameter of 1 cm or more at their thickest point, wood and wood packaging material of Acer spp., Aesculus spp., Alnus spp., Betula spp., Carpinus spp., Chaenomeles spp., Citrus spp., Cornus spp., Corylus spp., Cotoneaster spp., Crataegus spp., Cryptomeria spp., Fagus spp., Ficus spp., Hibiscus spp., Lagerstroemia spp., Malus spp., Melia spp., Morus spp., Ostrya spp., Parrotia spp., Photinia spp., Platanus spp., Populus spp., Prunus laurocerasusPyrus spp., Rosa spp., Salix spp., Ulmus spp. and Vaccinium corymbosum for Anoplophora chinensis (Forster) - (HS Chapters: 06 (live plants), 44 (wood products and articles of wood)</t>
  </si>
  <si>
    <t>06 - LIVE TREES AND OTHER PLANTS; BULBS, ROOTS AND THE LIKE; CUT FLOWERS AND ORNAMENTAL FOLIAGE; 06 - LIVE TREES AND OTHER PLANTS; BULBS, ROOTS AND THE LIKE; CUT FLOWERS AND ORNAMENTAL FOLIAGE</t>
  </si>
  <si>
    <r>
      <rPr>
        <sz val="11"/>
        <rFont val="Calibri"/>
      </rPr>
      <t>https://members.wto.org/crnattachments/2026/SPS/EEC/26_00744_00_e.pdf
https://members.wto.org/crnattachments/2026/SPS/EEC/26_00744_00_f.pdf
https://members.wto.org/crnattachments/2026/SPS/EEC/26_00744_00_s.pdf</t>
    </r>
  </si>
  <si>
    <t>Prevention of deceptive practices and consumer protection (TBT); Prevention of deceptive practices and consumer protection (TBT); Protection of animal or plant life or health (TBT); Protection of animal or plant life or health (TBT)</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</si>
  <si>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Protection of animal or plant life or health (TBT); Protection of animal or plant life or health (TBT); Quality requirements (TBT); Quality requirements (TBT)</t>
  </si>
  <si>
    <t>DEAS 27: 2022, UHT milk — Specification</t>
  </si>
  <si>
    <t>The aim of this addendum is to update WTO Members that the Draft East African Standard, DEAS 27: 2022, UHT milk — Specification, notified  G/TBT/N/BDI/222, G/TBT/N/KEN/1231, G/TBT/N/RWA/648, G/TBT/N/TZA/723, G/TBT/N/UGA/1555, was adopted by Tanzania on  31 October 2025 as a TZS 398:2025/EAS 27: 2023, UHT milk — Specification</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</si>
  <si>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Protection of the environment (TBT); Protection of the environment (TBT); Quality requirements (TBT); Quality requirements (TBT); Reducing trade barriers and facilitating trade (TBT); Reducing trade barriers and facilitating trade (TBT); Cost saving and productivity enhancement (TBT); Cost saving and productivity enhancement (TBT)</t>
  </si>
  <si>
    <t>DEAS 49: 2022, Milk powders and cream powder — Specification</t>
  </si>
  <si>
    <t>The aim of this addendum is to update WTO Members that the Draft East African Standard, DEAS 49: 2022, Milk powders and cream powder — Specification, notified  G/TBT/N/BDI/223, G/TBT/N/KEN/1232, G/TBT/N/RWA/649, G/TBT/N/TZA/724, G/TBT/N/UGA/1556, was adopted by Tanzania on  31 October 2025 as a TZS 2207:205/DEAS 49: 2023, Milk powders and cream powder — Specification</t>
  </si>
  <si>
    <t>DEAS 67: 2022, Raw cow milk — Specification</t>
  </si>
  <si>
    <t>The aim of this addendum is to update WTO Members that the Draft East African Standard, DEAS 67: 2022, Raw cow milk — Specification, notified  G/TBT/N/BDI/224, G/TBT/N/KEN/1233, G/TBT/N/RWA/650, G/TBT/N/TZA/725, G/TBT/N/UGA/1557, was adopted by Tanzania on  31 October 2025 as a TZS 626:2025/EAS 67: 2023, Raw cow milk — Specification</t>
  </si>
  <si>
    <t>The  DLD order  on  temporary suspension  of  the importation or transit of bovine and buffalo and their carcasses from Cambodia to prevent the spread of Lumpy Skin Disease</t>
  </si>
  <si>
    <t>Thailand proposes an amendment to the Department of Livestock Development (DLD) order on temporary suspension of the importation or transit of bovine and buffalo and their carcasses from Cambodia to prevent the spread of Lumpy Skin Disease by adding paragraph (2) as follows:The WOAH has reported an outbreak of Lumpy Skin Disease (LSD) in the area of Cambodia. Therefore, it is necessary for Thailand to prevent the entry of Lumpy Skin Disease into the country. By the virtue of the Animal Epidemics Act B.E. 2558 (2015), the importation or transit of bovine, buffalo, and their carcasses from Cambodia has been temporarily suspended.   2. Where bovine, buffalo, and their carcasses  from Cambodia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bovine, buffalo, and their carcasses into or through Thailand.</t>
  </si>
  <si>
    <t>Bovine, buffalo, and their carcasses under Animal Epidemics Act B.E. 2558 (2015)</t>
  </si>
  <si>
    <t>020210 - Frozen bovine carcases and half-carcases; 020110 - Carcases or half-carcases of bovine animals, fresh or chilled; 020110 - Carcases or half-carcases of bovine animals, fresh or chilled; 020210 - Frozen bovine carcases and half-carcases</t>
  </si>
  <si>
    <t>Modification of content/scope of regulation; Animal health; Animal diseases; Animal diseases; Animal health</t>
  </si>
  <si>
    <t>DEAS 771: 2022, Fresh sweet potato - Specification, Second Edition</t>
  </si>
  <si>
    <t>The aim of this addendum is to update WTO Members that the Draft East African Standard, DEAS 771: 2022, Fresh sweet potato - Specification, Second Edition notified  G/SPS/N/BDI/13, G/SPS/N/KEN/165, G/SPS/N/RWA/6, G/SPS/N/TZA/197, G/SPS/N/UGA/207, was adopted by Tanzania on  31 October 2025 as a TZS 4054:2025/EAS 771: 2023, Fresh sweet potato - Specification, Second Edition.</t>
  </si>
  <si>
    <t>Sweet potatoes (HS code(s): 071420); Vegetables and derived products (ICS code(s): 67.080.20); Fresh sweet potato</t>
  </si>
  <si>
    <t>DEAS 738: 2022, Fresh sweet cassava roots - Specification, Second Edition</t>
  </si>
  <si>
    <t>The aim of this addendum is to update WTO Members that the Draft East African Standard, DEAS 738: 2022, Fresh sweet cassava roots - Specification, Second Edition, notified  G/SPS/N/BDI/14, G/SPS/N/KEN/166, G/SPS/N/RWA/7, G/SPS/N/TZA/198, G/SPS/N/UGA/208, was adopted by Tanzania on  31 October 2025 as a TZS 1276:2025/EAS 738: 2023, Fresh sweet cassava roots - Specification, Second Edition.</t>
  </si>
  <si>
    <t>Manioc (cassava) (HS code(s): 071410); Vegetables and derived products (ICS code(s): 67.080.20); Fresh sweet cassava </t>
  </si>
  <si>
    <t>071410 - Fresh, chilled, frozen or dried roots and tubers of manioc "cassava", whether or not sliced or in the form of pellets; 071410 - Fresh, chilled, frozen or dried roots and tubers of manioc "cassava", whether or not sliced or in the form of pellets</t>
  </si>
  <si>
    <t>Human health; Food safety; Adoption/publication/entry into force of reg.; Human health; Food safety</t>
  </si>
  <si>
    <t>DEAS 70: 2022, Dairy ice cream — Specification</t>
  </si>
  <si>
    <t>The aim of this addendum is to update WTO Members that the Draft East African Standard, DEAS 70: 2022, Dairy ice cream — Specification, notified G/TBT/N/BDI/220, G/TBT/N/KEN/1229, G/TBT/N/RWA/646, G/TBT/N/TZA/721, G/TBT/N/UGA/1553, was adopted by Tanzania on  31 October 2025 as a TZS 306:2025/EAS 70: 2023, Dairy ice cream — Specification</t>
  </si>
  <si>
    <t>Draft Order of the Ministry of Agrarian Policy and Food of Ukraine "On Amendments to the Order of the Ministry of Agrarian Policy and Food of Ukraine No. 1450 of 31 July 2023"</t>
  </si>
  <si>
    <t>Ukraine notifies the adoption of the Order of the Ministry of Economy, Environment and Agriculture of Ukraine of 15 December 2025 No. 3166 “On Amendments to the Order of the Ministry of Agrarian Policy and Food of Ukraine No. 1450 of 31 July 2023" (concerning the approval of requirements for fruit juices and certain similar products, previously notified in documents  G/TBT/N/UKR/352 and G/TBT/N/UKR/352/Add.1).The Order was registered in the Ministry of Justice of Ukraine on 30 December 2025.This Order was published on 26 January 2026 and will enter into force six months after its official publication, i.е. on 26 July 2026.</t>
  </si>
  <si>
    <t>Fruit juice, fruit juice from concentrate, concentrated fruit juice, dehydrated/powdered fruit juice, fruit nectar (HS code(s): 2009)</t>
  </si>
  <si>
    <t>2009 - Fruit juices, incl. grape must, and vegetable juices, unfermented, not containing added spirit, whether or not containing added sugar or other sweetening matter; 2009 - Fruit juices, incl. grape must, and vegetable juices, unfermented, not containing added spirit, whether or not containing added sugar or other sweetening matter</t>
  </si>
  <si>
    <t>67.160.20 - Non-alcoholic beverages; 67.160.20 - Non-alcoholic beverages</t>
  </si>
  <si>
    <r>
      <rPr>
        <sz val="11"/>
        <rFont val="Calibri"/>
      </rPr>
      <t>https://members.wto.org/crnattachments/2026/TBT/UKR/final_measure/26_00765_00_x.pdf
https://members.wto.org/crnattachments/2026/TBT/UKR/final_measure/26_00765_01_x.pdf</t>
    </r>
  </si>
  <si>
    <t>DEAS 780: 2022, Fresh cassava leaves - Specification, Second Edition</t>
  </si>
  <si>
    <t>The aim of this addendum is to update WTO Members that the Draft East African Standard, DEAS 780: 2022, Fresh cassava leaves - Specification, Second Edition, notified  G/SPS/N/BDI/9, G/SPS/N/KEN/161, G/SPS/N/RWA/2, G/SPS/N/TZA/193, G/SPS/N/UGA/203, was adopted by Tanzania on  31 October 2025 as a TZS 2316:2025/EAS 780: 2023, Fresh cassava leaves - Specification, Second Edition.</t>
  </si>
  <si>
    <t>Other vegetables (HS code(s): 071080); Vegetables and derived products (ICS code(s): 67.080.20); Fresh cassava leaves</t>
  </si>
  <si>
    <t>071080 - Vegetables, uncooked or cooked by steaming or by boiling in water, frozen (excl. potatoes, leguminous vegetables, spinach, New Zealand spinach, orache spinach, and sweetcorn); 071080 - Vegetables, uncooked or cooked by steaming or by boiling in water, frozen (excl. potatoes, leguminous vegetables, spinach, New Zealand spinach, orache spinach, and sweetcorn)</t>
  </si>
  <si>
    <t>DEAS 1094:2022, Poultry feed premix — Specification, First Edition</t>
  </si>
  <si>
    <t>The aim of this addendum is to update WTO Members that the Draft East African Standard, DEAS 1094:2022, Poultry feed premix — Specification, First Edition, notified  G/TBT/N/BDI/241, G/TBT/N/KEN/1260, G/TBT/N/RWA/671, G/TBT/N/TZA/781, G/TBT/N/UGA/1594, was adopted by Tanzania on  31 October 2025 as a TZS 2047:2025/EAS 1094:2023, Poultry feed premix — Specification, First Edition</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</si>
  <si>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Quality requirements (TBT); Quality requirements (TBT)</t>
  </si>
  <si>
    <t>DEAS 69: 2022, Pasteurized milk — Specification</t>
  </si>
  <si>
    <t>The aim of this addendum is to update WTO Members that the Draft East African Standard, DEAS 69: 2022, Pasteurized milk — Specification, notified  G/TBT/N/BDI/219, G/TBT/N/KEN/1228, G/TBT/N/RWA/645, G/TBT/N/TZA/720, G/TBT/N/UGA/1552, was adopted by Tanzania on  31 October 2025 as a TZS 251:2025/EAS 69: 2023, Pasteurized milk — Specification</t>
  </si>
  <si>
    <t>DEAS 915: 2022, Ghee — Specification</t>
  </si>
  <si>
    <t>The aim of this addendum is to update WTO Members that the Draft East African Standard, DEAS 915: 2022, Ghee — Specification, notified  G/TBT/N/BDI/221, G/TBT/N/KEN/1230, G/TBT/N/RWA/647, G/TBT/N/TZA/722, G/TBT/N/UGA/1554, was adopted by Tanzania on  31 October 2025 as a TZS 1778-2:2025/EAS 915: 2023, Ghee — Specification.</t>
  </si>
  <si>
    <t>DEAS 778: 2022, Fresh bitter cassava roots — Specification, Second Edition</t>
  </si>
  <si>
    <t>The aim of this addendum is to update WTO Members that the Draft East African Standard, DEAS 778: 2022, Fresh bitter cassava roots — Specification, Second Edition, notified  G/SPS/N/BDI/12, G/SPS/N/KEN/164, G/SPS/N/RWA/5, G/SPS/N/TZA/196, G/SPS/N/UGA/206, was adopted by Tanzania on  31 October 2025 as a TZS 2315:2025/EAS 778: 2023, Fresh bitter cassava roots — Specification, Second Edition.</t>
  </si>
  <si>
    <t>Manioc (cassava) (HS code(s): 071410); Vegetables and derived products (ICS code(s): 67.080.20); Fresh bitter cassava roots</t>
  </si>
  <si>
    <t>Draft Order of the Ministry of Agrarian Policy and Food of Ukraine “On Amendments to the Order of the Ministry of Agrarian Policy and Food of Ukraine No. 1450 of 31 July 2023”</t>
  </si>
  <si>
    <t>Ukraine notifies the adoption of the Order of the Ministry of Economy, Environment and Agriculture of Ukraine of 15 December 2025 No. 3166  “On Amendments to the Order of the Ministry of Agrarian Policy and Food of Ukraine No. 1450 of 31 July 2023" (concerning the approval of requirements for fruit juices and certain similar products, previously notified in documents G/SPS/N/UKR/249 and G/SPS/N/UKR/249/Add.1).The Order was registered in the Ministry of Justice of Ukraine on 30 December 2025.This Order was published on 26 January 2026 and will enter into force six months after its official publication, i.е. on 26 July 2026.</t>
  </si>
  <si>
    <r>
      <rPr>
        <sz val="11"/>
        <rFont val="Calibri"/>
      </rPr>
      <t>https://members.wto.org/crnattachments/2026/SPS/UKR/26_00764_00_x.pdf
https://members.wto.org/crnattachments/2026/SPS/UKR/26_00764_01_x.pdf
https://zakon.rada.gov.ua/laws/show/z1963-25#Text</t>
    </r>
  </si>
  <si>
    <t>Import Terms and Conditions for Small Ruminants</t>
  </si>
  <si>
    <t>This document provides guidelines on the required information and animal health attestations for the importation of small ruminants, which are to be indicated in the International Veterinary Health Certificate (IVHC) issued by the National Competent Authority of the exporting country and the Sanitary Phytosanitary Import Clearance (SPSIC) issued by the Bureau of Animal Industry.</t>
  </si>
  <si>
    <t>Live sheep and goats (HS code: 01.04) </t>
  </si>
  <si>
    <t>0104 - Live sheep and goats</t>
  </si>
  <si>
    <r>
      <rPr>
        <sz val="11"/>
        <rFont val="Calibri"/>
      </rPr>
      <t>https://members.wto.org/crnattachments/2026/SPS/PHL/26_00749_00_e.pdf</t>
    </r>
  </si>
  <si>
    <t>Poland</t>
  </si>
  <si>
    <t>Draft act amending the act on upbringing in sobriety and counteracting alcoholism and the act on radio and television broadcasting (parliamentary document no. 2010</t>
  </si>
  <si>
    <t>The project aims to reduce alcohol consumption in society by significantly limiting alcohol advertising and promotion and introducing requirements for alcoholic and non-alcoholic beverage packaging to prevent consumers from being misled.The appearance of containers used to sell alcoholic beverages, as well as the appearance and content of the information displayed on them, may not:1) encourage the consumption of alcoholic beverages by persons under 18 years of age;2) link alcohol consumption with physical fitness or driving;3) contain claims that alcohol has medicinal properties, is a stimulant, a sedative, or a means of resolving personal conflicts;4) encourage excessive alcohol consumption;5) present abstinence or moderate alcohol consumption in a negative way;6) emphasise the alcohol content of alcoholic beverages as a positive quality of the alcoholic beverage;7) evoke associations of alcoholic beverages with:a) sexual attractiveness;b) relaxation or rest;c) study or work;d) professional or personal success;8) raise doubts or mislead regarding the identification of alcoholic beverages; 9) prevent alcoholic beverages from being distinguished from other foods, particularly foods intended for children.Alcoholic beverages placed on the market in legally permitted packaging will be required to include graphic information about:1) the harmful effects of alcohol on pregnant women;2) the prohibition on driving under the influence of alcohol;3) the prohibition on underage drinking.Prohibition on the marketing, sale, and serving of food products whose name, trademark, graphic design, or packaging is similar to, or identical to, the designation of an alcoholic beverage.Prohibition on the marketing, sale, and serving of alcoholic beverages whose name, trademark, graphic design, or packaging is similar to, or identical to, the designation of a non-alcoholic food product.</t>
  </si>
  <si>
    <t>Alcoholic beverages</t>
  </si>
  <si>
    <t>67.160.10 - Alcoholic beverages</t>
  </si>
  <si>
    <t>After 6 months from the date of publication in the Journal of Laws of the Republic of Poland</t>
  </si>
  <si>
    <r>
      <rPr>
        <sz val="11"/>
        <rFont val="Calibri"/>
      </rPr>
      <t>https://members.wto.org/crnattachments/2026/TBT/POL/26_00725_00_x.pdf
https://sejm.gov.pl/Sejm10.nsf/PrzebiegProc.xsp?nr=2010</t>
    </r>
  </si>
  <si>
    <t>A parliamentary bill amending the Act on Upbringing in Sobriety and Counteracting Alcoholism and the Act on Radio and Television Broadcastinghttps://sejm.gov.pl/Sejm10.nsf/PrzebiegProc.xsp?nr=2010Draft act and justification</t>
  </si>
  <si>
    <t>Food safety; Adoption/publication/entry into force of reg.; Human health; Human health; Food safety</t>
  </si>
  <si>
    <t>Real Decreto por el que se establecen disposiciones relativas a los productos de construcción.</t>
  </si>
  <si>
    <t>The notified draft Royal Decree elaborates on aspects of Regulation (EU) 2024/3110 of the European Parliament and of the Council, of 27 November 2024, laying down harmonised rules for the marketing of construction products and repealing Regulation (EU) No 305/2011. These aspects include the treatment of construction products in the building codes and the system of penalties. In addition, the notified draft Royal Decree also seeks to update national regulations for certain products to which European regulations do not apply.</t>
  </si>
  <si>
    <t>Productos de construcción. Determinadas categorías de cementos, alambres trefilados lisos y corrugados, armaduras activas de acero para hormigón pretensado, tubos de acero soldado, detectores de monóxido de carbono y de otros gases, griferías sanitarias, productos de construcción con propiedades de comportamiento frente al fuego.</t>
  </si>
  <si>
    <t>23.060 - Valves; 77.140.75 - Steel pipes and tubes for specific use; 91.100 - Construction materials; 91.100.10 - Cement. Gypsum. Lime. Mortar; 91.140.70 - Sanitary installations</t>
  </si>
  <si>
    <t>Por un lado, el proyecto de real decreto aborda la implantación en España de algunos aspectos del Reglamento (UE) 2024/3110 del Parlamento Europeo y del Consejo, de 27 de noviembre de 2024, por el que se establecen reglas armonizadas para la comercialización de productos de construcción y se deroga el Reglamento (UE) n.° 305/2011. Por otro lado, el proyecto de real decreto establece requisitos para algunos productos no sujetos a normativa europea.La razón de ser del proyecto es debida a que existen determinados aspectos del Reglamento (UE) 2024/3110 del Parlamento Europeo y del Consejo, de 27 de noviembre de 2024, que deben ser desarrollados a nivel nacional como, por ejemplo, el régimen sancionador. Al mismo tiempo, existen algunos productos relacionados con el sector de la construcción que no están sujetos a dicho reglamento europeo, y para estos, a falta de normativa europea, deben establecerse requisitos nacionales, para garantizar que las obras de construcción donde se empleen dichos productos sean seguras.</t>
  </si>
  <si>
    <t>Fourth quarter of 2026</t>
  </si>
  <si>
    <t>Finales de 2026 o inicios de 2027.</t>
  </si>
  <si>
    <r>
      <rPr>
        <sz val="11"/>
        <rFont val="Calibri"/>
      </rPr>
      <t>https://members.wto.org/crnattachments/2026/TBT/ESP/26_00770_00_e.pdf</t>
    </r>
  </si>
  <si>
    <t>Definitive text proposal</t>
  </si>
  <si>
    <t>The DLD order on temporary suspension of the importation or transit of live domestic pigs and wild pigs and their carcasses from India to prevent the spread of African Swine Fever</t>
  </si>
  <si>
    <t>Thailand proposes an amendment to the Department of Livestock Development (DLD) Order on temporary suspension of the importation or transit of live domestic pigs and wild pigs and their carcasses from India to prevent the spread of African Swine Fever by adding paragraph (2) as follows:The WOAH has reported an outbreak of African Swine Fever (ASF) in the area of India. Therefore, it is necessary for Thailand to prevent the entry of African Swine Fever disease into the country. By the virtue of the Animal Epidemics Act B.E.  2558 (2015), the importation or transit  of live  domestic  pigs, wild  pigs,  and their carcasses from India has been temporarily suspended.    2. Where live domestic pigs and wild pigs and their carcasses from India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domestic pigs and wild pigs and their carcasses into or through Thailand.</t>
  </si>
  <si>
    <t>Live domestic pigs, wild pigs, and their carcasses under Animal Epidemics Act B.E. 2558 (2015)</t>
  </si>
  <si>
    <t>020321 - Frozen carcases and half-carcases of swine; 020311 - Fresh or chilled carcases and half-carcases of swine; 0103 - Live swine; 0103 - Live swine; 020311 - Fresh or chilled carcases and half-carcases of swine; 020321 - Frozen carcases and half-carcases of swine</t>
  </si>
  <si>
    <t>Modification of content/scope of regulation; Animal health; Animal diseases; African swine fever (ASF); Animal health; Animal diseases; African swine fever (ASF)</t>
  </si>
  <si>
    <t>Maximum residue levels for dimoxystrobin, ethephon and propamocarb in or on certain products</t>
  </si>
  <si>
    <t>The proposal notified in G/SPS/N/EU/801 (5 December 2024) is now adopted by Commission Regulation (EU) 2026/215 of 29 January 2026 amending Annexes II and V to Regulation (EC) No 396/2005 of the European Parliament and of the Council as regards maximum residue levels for dimoxystrobin, ethephon and propamocarb in or on certain products (Text with EEA relevance).The Regulation shall apply from 19 August 2026.</t>
  </si>
  <si>
    <t>Human health; Food safety; Adoption/publication/entry into force of reg.; Maximum residue limits (MRLs); Maximum residue limits (MRLs); Food safety; Human health</t>
  </si>
  <si>
    <r>
      <rPr>
        <sz val="11"/>
        <rFont val="Calibri"/>
      </rPr>
      <t>https://members.wto.org/crnattachments/2026/SPS/EEC/26_00745_00_e.pdf
https://members.wto.org/crnattachments/2026/SPS/EEC/26_00745_00_f.pdf
https://members.wto.org/crnattachments/2026/SPS/EEC/26_00745_00_s.pdf</t>
    </r>
  </si>
  <si>
    <t>Lists of third countries or regions thereof authorised for the entry into the Union of consignments of certain animals and goods intended for human consumption</t>
  </si>
  <si>
    <t>The proposal notified in G/SPS/N/EU/885 (17 September 2025) is now adopted by Commission Implementing Regulation (EU) 2026/187 of 28 January 2026 amending Implementing Regulation (EU) 2021/405 as regards the lists of third countries or regions thereof authorised for the entry into the Union of consignments of certain animals and goods intended for human consumption in accordance with Regulation (EU) 2017/625 of the European Parliament and of the Council (Text with EEA relevance).This Regulation shall enter into force on the twentieth day following that of its publication in the Official Journal of the European Union.</t>
  </si>
  <si>
    <t>Products of animal origin</t>
  </si>
  <si>
    <t>Adoption/publication/entry into force of reg.; Food safety; Human health; Food safety; Human health</t>
  </si>
  <si>
    <r>
      <rPr>
        <sz val="11"/>
        <rFont val="Calibri"/>
      </rPr>
      <t>https://members.wto.org/crnattachments/2026/SPS/EEC/26_00743_00_e.pdf
https://members.wto.org/crnattachments/2026/SPS/EEC/26_00743_00_f.pdf
https://members.wto.org/crnattachments/2026/SPS/EEC/26_00743_00_s.pdf</t>
    </r>
  </si>
  <si>
    <t>Import Terms and Conditions for Large Ruminants</t>
  </si>
  <si>
    <t>This document provides guidelines on the required information and animal health attestations for the importation of large ruminants, which are to be indicated in the International Veterinary Health Certificate (IVHC) issued by the National Competent Authority of the exporting country and the Sanitary Phytosanitary Import Clearance (SPSIC) issued by the Bureau of Animal Industry.</t>
  </si>
  <si>
    <t>Live bovine animals (HS code: 01.02)</t>
  </si>
  <si>
    <t>0102 - Live bovine animals</t>
  </si>
  <si>
    <r>
      <rPr>
        <sz val="11"/>
        <rFont val="Calibri"/>
      </rPr>
      <t>https://members.wto.org/crnattachments/2026/SPS/PHL/26_00748_00_e.pdf</t>
    </r>
  </si>
  <si>
    <t>The DLD order on temporary suspension of the importation or transit of live domestic pigs and wild pigs and their carcasses from Italy to prevent the spread of African Swine Fever</t>
  </si>
  <si>
    <t>Thailand proposes an amendment to the Department of Livestock Development (DLD) Order on temporary suspension of the importation or transit of live domestic pigs and wild pigs and their carcasses from Italy to prevent the spread of African Swine Fever by adding paragraph (2) as follows:The WOAH has reported an outbreak of African Swine Fever (ASF) in the area of Italy. Therefore, it is necessary for Thailand to prevent the entry of African Swine Fever disease into the country. By the virtue of the Animal Epidemics Act B.E.  2558 (2015), the importation or transit of live domestic pigs, wild pigs, and their carcasses from Italy has been temporarily suspended.    2. Where live domestic pigs and wild pigs and their carcasses from Italy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domestic pigs and wild pigs and their carcasses into or through Thailand.</t>
  </si>
  <si>
    <t>Live domestic pigs, wild pigs, and their carcasses under Animal Epidemics Act B.E. 2558 (2015)</t>
  </si>
  <si>
    <t>Modification of content/scope of regulation; Animal health; Animal diseases; African swine fever (ASF); Pest- or Disease- free Regions / Regionalization; Pest- or Disease- free Regions / Regionalization; African swine fever (ASF); Animal diseases; Animal health</t>
  </si>
  <si>
    <t>Limited review of the mandatory safety standard for Baby bath aids</t>
  </si>
  <si>
    <t>The mandatory standard for baby bath aids (the mandatory standardConsumer Goods (Baby Bath Aids) Safety Standard 2017 was introduced in 2005 to address the drowning deaths of infants while using baby bath aids in Australia. It was updated in 2017 to improve the permanence and legibility of the safety warnings. It covers requirements for warning statement labelling and the testing of these warning labels to ensure permanency and legibility.The mandatory standard currently references the 2013 version of the voluntary US standard for infant bath seats (ASTM F1967) subclauses 7.3.1, 7.3.3, and 7.3.4 for the determination of warning label permanence.The ACCC is conducting a limited review of the mandatory standard. The purpose of this limited review is to seek stakeholder views about:increasing compliance options by referencing appropriate overseas standards that provide an equivalent or better level of safetywhether adding dynamic references is appropriate - so updates to referenced voluntary standards flow through to the mandatory standard.The limited review seeks views about allowing suppliers to comply with the most recent version of the voluntary US and European standards:ASTM F1967:2024 — Standard Consumer Safety Specification for Infant Bath SeatsI.S. EN 17022:2018 Child care articles – Bathing aids – Safety requirements and test methodsI.S. EN 17072:2018 — Child care articles - Bath tubs, stands and non-standalone bathing aids - Safety requirements and test methodsIncluding these voluntary overseas standards as compliance options would provide regulatory flexibility by offering suppliers alternative options for complying with the mandatory standard.  Significant changes such as altering the scope of the mandatory standard or other major requirements (such as performance measures) are not being considered in this limited review.</t>
  </si>
  <si>
    <t>Baby bath aids</t>
  </si>
  <si>
    <t>940180 - Seats, n.e.s.</t>
  </si>
  <si>
    <t>The objective of the mandatory safety standard is to reduce the risk of babies drowning or acquiring permanent brain injury from the use of baby bath aids. It provides suppliers of baby bath aids with warning statements that are required to be included on the baby bath aid and its packaging and specifies a permanency test and colour contrast requirements for these warning labels.Referencing voluntary international standards, alongside the voluntary Australian standard, reduces the regulatory burden on suppliers by reducing administrative, testing and compliance costs where a product already conforms to the requirements of the specified voluntary standard.</t>
  </si>
  <si>
    <t>Not applicable - we are consulting on whether the mandatory safety standard should be updated.</t>
  </si>
  <si>
    <t>Not applicable.</t>
  </si>
  <si>
    <r>
      <rPr>
        <sz val="11"/>
        <rFont val="Calibri"/>
      </rPr>
      <t>https://consultation.accc.gov.au/accc/baby-bath-aids-mandatory-standard-limited-review/</t>
    </r>
  </si>
  <si>
    <t>Current mandatory safety standard – Consumer Goods (Baby Bath Aids) Safety Standard 2017ACCC Product Safety page – Baby bath aids mandatory standardConsultation for limited review of baby bath aids – https://consultation.accc.gov.au/accc/baby-bath-aids-mandatory-standard-limited-review/The voluntary European and US standards are available for purchase from Intertek Inform or Accuris</t>
  </si>
  <si>
    <t>The DLD order on temporary suspension of importation or transit of live poultry and poultry carcasses from South Africa to prevent the spread of High Pathogenicity Avian Influenza</t>
  </si>
  <si>
    <t>Thailand proposes an amendment to the Department of Livestock Development (DLD) Order on temporary suspension of importation or transit of live poultry and poultry carcasses from South Africa to prevent the spread of High Pathogenicity Avian Influenza by adding paragraph (2) as follows:The WOAH has reported an outbreak of High Pathogenicity Avian Influenza (Subtype H5N1) in the area of South Africa. Therefore, it is necessary for Thailand to prevent the entry of High Pathogenicity Avian Influenza (Subtype H5N1) into the country. By the virtue of the Animal Epidemics Act B.E. 2558 (2015), the importation or transit of live poultry and poultry carcasses from South Africa has been temporarily suspended. Where live poultry and poultry carcasses from South Africa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poultry or poultry carcasses into or through Thailand.</t>
  </si>
  <si>
    <t>Animal health; Animal diseases; Avian Influenza; Modification of content/scope of regulation; Animal diseases; Animal health; Avian Influenza</t>
  </si>
  <si>
    <t>Resolución No. 00000578 del 27 de enero de 2026 del ICA "Por medio de la cual se suspende temporalmente la emisión de Documentos Zoosanitarios de Importación (DZI) para bovinos, bufalinos, productos y subproductos de riesgo susceptibles de transmitir la enfermedad de la Dermatosis Nodular Contagiosa, procedentes del Reino de España, y se establecen otras disposiciones" (ICA Resolution No. 00000578, of 27 January 2026, temporarily suspending the issuance of animal health import documents (DZI) for bovine and bubaline animals, products and by-products at risk of transmitting lumpy skin disease, coming from the Kingdom of Spain, and enacting other provisions)</t>
  </si>
  <si>
    <t>The notified measure temporarily suspends the issuance of animal health import documents (DZI) for bovine and bubaline animals, products and by-products at risk of transmitting lumpy skin disease, coming from the Kingdom of Spain. Moreover, it denies entry into the country for bovine and bubaline animals, products and by-products at risk of transmitting lumpy skin disease, coming from the Kingdom of Spain, covered by animal health import documents issued by the ICA prior to the entry into force of this Resolution, that do not comply with the provisions of this Resolution.</t>
  </si>
  <si>
    <t>Animal health; Animal diseases; Zoonoses</t>
  </si>
  <si>
    <t>The notified Resolution shall enter into force on the date of its publication in the Official Journal.</t>
  </si>
  <si>
    <r>
      <rPr>
        <sz val="11"/>
        <rFont val="Calibri"/>
      </rPr>
      <t>https://members.wto.org/crnattachments/2026/SPS/COL/26_00771_00_s.pdf
https://www.ica.gov.co/getattachment/7131656d-57a7-4aae-8c3e-221975418fff/2026R00001129.aspx</t>
    </r>
  </si>
  <si>
    <t>Commission Implementing Regulation (EU) 2026/154 of 23 January 2026 concerning the authorisation of sepiolitic clay as a feed additive for all animal species other than ruminants for milk production or reproduction, weaned piglets of porcine species, porcine species for fattening, salmonids and chickens for fattening and amending Implementing Regulation (EU) 2023/263 as regards the terms of the authorisation of sepiolitic clay as a feed additive for salmonids and chickens for fattening (Text with EEA relevance)</t>
  </si>
  <si>
    <t>The substance covered by the Act was still authorised without a time limit as a feed additive for all animal species other than ruminants for milk production or reproduction, weaned piglets of porcine species, porcine species for fattening, salmonids and chickens for fattening. An application was submitted for the reauthorisation of this substance for the species mentioned above in accordance with article 10 of Regulation (EC) No 1831/2003. Based on the favourable conclusions of a scientific assessment of the dossier submitted by the applicant, conducted by the European Food Safety Authority (EFSA), this substance is reauthorised as a feed additive for the species mentioned above in the additive category ‘technological additives’ and in the functional groups ‘binders’, under certain conditions detailed in the Annex to the Act.In addition, Implementing Regulation (EU) 2023/263 is amended to increase the maximum content of the additive in complete feed for salmonids and chickens for fattening.</t>
  </si>
  <si>
    <t>Animal health; Feed additives</t>
  </si>
  <si>
    <r>
      <rPr>
        <sz val="11"/>
        <rFont val="Calibri"/>
      </rPr>
      <t>https://members.wto.org/crnattachments/2026/SPS/EEC/26_00727_00_e.pdf
https://members.wto.org/crnattachments/2026/SPS/EEC/26_00727_00_f.pdf
https://members.wto.org/crnattachments/2026/SPS/EEC/26_00727_00_s.pdf</t>
    </r>
  </si>
  <si>
    <t>Emergency measures to mitigate the risk of introducing Tomato brown rugose fruit virus (ToBRFV)</t>
  </si>
  <si>
    <t>To prevent the introduction of ToBRFVinto Japan, MAFF will take emergency measures for Chrysanthemum indicum from all regions/countries. The measures are taken as follows: (1) For Live plants and plant parts for planting (excluding seeds and fruits):The plants must fulfill the following specific requirement AND the phytosanitary certificate or the certified copy of the phytosanitary certificate must include additional declaration (see (2)).The plants randomly taken from a lot and plants with suspected symptoms are tested during the growing season or prior to export by an appropriate genetic method such as RT-PCR assay and found to be free from Tomato brown rugose fruit virus(2) Example of wording for additional declaration:National Plant Protection Organizations (NPPO) of all regions/countries will be required to include an additional declaration stating that “Fulfills item 36 of the Annexed Table 2-2 of the Ordinance for Enforcement of the Plant Protection Act (MAF Ordinance No. 73/1950)” in the phytosanitary certificate or the certified copy of the phytosanitary certificate.</t>
  </si>
  <si>
    <t>Live plants and plant parts for planting (excluding seeds and fruits) of Chrysanthemum indicum (syn. Dendranthema indicum</t>
  </si>
  <si>
    <t>On detailed rules for organic plant production and plant products, plant reproductive material, wild plant collection, and mushroom production</t>
  </si>
  <si>
    <t>This draft Instruction of Minister aims to establish detailed rules for:organic production of plants and plant products, including plant reproductive material;conversion of plant production to organic production;derogations from the rules on organic plant production;organic mushroom production;organic wild plant collection.This draft lays down the general requirements to be applied to organic plant production, prohibitions, and some derogations and detailed rules on conversion, origin of plants including plant reproductive material, use of in-conversion and non-organic plant reproductive material, rules on soil management and fertilization, pest and weed management and products used for cleaning and disinfection.Regarding the derogations from production rules, it is established the procedure on granting the derogations or authorization by control body for operators under their control system, for using the in-conversion or non-organic plant reproductive material. In addition, the detailed rules for specific plants and plant products such as rules on mushroom production and the collection of wild plants are defined.</t>
  </si>
  <si>
    <t>Plants and plant products, plant reproductive material, wild plants and mushrooms</t>
  </si>
  <si>
    <r>
      <rPr>
        <sz val="11"/>
        <rFont val="Calibri"/>
      </rPr>
      <t>https://members.wto.org/crnattachments/2026/SPS/ALB/26_00742_00_x.pdf</t>
    </r>
  </si>
  <si>
    <t>Consultation on proposed amendment to the Sanitary Regulations for Food Products, Title II Food Products, Paragraph II Labelling and Advertising, Article 118)</t>
  </si>
  <si>
    <t>-__________1 This information can be provided by including a website address, a PDF attachment, or other information on where the text of the final/modified measure and/or interpretative guidance can be obtained.</t>
  </si>
  <si>
    <t>Alimentos</t>
  </si>
  <si>
    <t>Establece requisitos fitosanitarios de importación para plantas para plantar de frambueso (Rubus idaeus) y mora (Rubus fruticosus) procedentes de los Estados miembros de la Unión Europea, modifica Resolución No 7.243 de 2012 (Establishing phytosanitary requirements for the importation of raspberry (Rubus idaeus) and blackberry (Rubus fruticosus) plants for planting, from the members States of the European Union, amending Resolution No. 7.243 of 2012)</t>
  </si>
  <si>
    <t>The notified measure sets out the draft resolution establishing the phytosanitary requirements for the importation of seedlings, cuttings and roots of Rubus idaeus and Rubus fruticosus from the member States of the European Union. It should be noted that SAG currently only regulates imports of plants, cuttings or slips of Rubus idaeus from that origin.Further details can be found in the document attached hereto.</t>
  </si>
  <si>
    <t>Seedlings, cuttings and roots of Rubus idaeus and Rubus fruticosus</t>
  </si>
  <si>
    <t>Upon publication in the Official Journal.</t>
  </si>
  <si>
    <t>Sixty days from publication in the Official Journal.</t>
  </si>
  <si>
    <r>
      <rPr>
        <sz val="11"/>
        <rFont val="Calibri"/>
      </rPr>
      <t>https://members.wto.org/crnattachments/2026/SPS/CHL/26_00730_00_s.pdf
https://members.wto.org/crnattachments/2026/SPS/CHL/26_00730_01_s.pdf</t>
    </r>
  </si>
  <si>
    <t>Proposal to delete Article 305, amend Article 309, and include a new Article 275 bis – Food Health Regulations, Supreme Decree No. 977/96 of the Ministry of Health</t>
  </si>
  <si>
    <t>Productos cárnicos </t>
  </si>
  <si>
    <t>67.120.10 - Meat and meat products; 67.120.10 - Meat and meat products</t>
  </si>
  <si>
    <t>Draft Commission Regulation amending Annexes II, III and V to Regulation (EC) No 396/2005 of the European Parliament and of the Council as regards maximum residue levels for benomyl, carbendazim and thiophanate‐methyl in or on certain products (Text with EEA relevance)</t>
  </si>
  <si>
    <t>The proposed draft Regulation concerns the lowering of existing MRLs for carbendazim and thiophanate‐methyl in certain food commodities.</t>
  </si>
  <si>
    <t>02 - MEAT AND EDIBLE MEAT OFFAL; 10 - CEREALS</t>
  </si>
  <si>
    <t>Food safety; Maximum residue limits (MRLs)</t>
  </si>
  <si>
    <t>This Regulation shall enter into force on the twentieth day following that of its publication in the Official Journal of the European Union, and apply three months thereafter.</t>
  </si>
  <si>
    <r>
      <rPr>
        <sz val="11"/>
        <rFont val="Calibri"/>
      </rPr>
      <t>https://members.wto.org/crnattachments/2026/SPS/EEC/26_00739_00_e.pdf
https://members.wto.org/crnattachments/2026/SPS/EEC/26_00739_02_e.pdf
https://members.wto.org/crnattachments/2026/SPS/EEC/26_00739_03_e.pdf
https://members.wto.org/crnattachments/2026/SPS/EEC/26_00739_01_e.pdf</t>
    </r>
  </si>
  <si>
    <t>The European Food Safety Authority published a reasoned opinion on the existing MRLs for carbendazim and thiophanate-methyl. Based on the opinion, Regulation (EC) No 396/2005 should be amended following a risk analysis approach.
In addition, Codex revoked all CXLs for carbendazim (residue definition including thiophanate-methyl) in 2025. 
The current EU policy is to align EU MRLs with CXLs if the following conditions are fulfilled: (i) that the European Union sets MRLs for the commodity under consideration; (ii) that the current EU MRL is lower than the CXL; and (iii) that the CXL is acceptable to the European Union with respect to its policy objective of ensuring a high level of consumer protection, including aspects on supporting data and extrapolations.</t>
  </si>
  <si>
    <t>Proyecto de Tercera Revisión del Reglamento Técnico Ecuatoriano PRTE INEN 072 (3R) “Eficiencia energética para acondicionadores de aire sin ductos externos”</t>
  </si>
  <si>
    <t>Ecuador, mediante el presente corrigendo, señala que el título correcto de la medida notificada a través del formulario con signatura G/TBT/N/ECU/394/Rev.2 es: “Proyecto de Tercera Revisión del Reglamento Técnico Ecuatoriano PRTE INEN 072 (3R) ‘Eficiencia energética para acondicionadores de aire sin ductos externos’”</t>
  </si>
  <si>
    <t>Máquinas y aparatos para acondicionamiento de aire, de pared o para ventanas, formando un solo cuerpo o del tipo sistema de elementos separados "split-system" (HS code(s): 841510); Máquinas y aparatos para acondicionamiento de aire, con equipo de enfriamiento pero sin válvula de inversión del ciclo térmico (exc. máquinas y aparatos de pared o para ventanas, formando un solo cuerpo o del tipo sistema de elementos separados "split-system"; acondicionadores de los tipos utilizados en vehículos automóviles para bienestar de las personas) (HS code(s): 841582); (ICS code(s): 23.120)</t>
  </si>
  <si>
    <t>841510 - Window or wall air conditioning machines, self-contained or "split-system"; 841582 - Air conditioning machines incorporating a refrigerating unit but without a valve for reversal of the cooling/heat cycle (excl. of a kind used for persons in motor vehicles, and self-contained or "split-system" window or wall air conditioning machines); 841510 - Window or wall air conditioning machines, self-contained or "split-system"; 841582 - Air conditioning machines incorporating a refrigerating unit but without a valve for reversal of the cooling/heat cycle (excl. of a kind used for persons in motor vehicles, and self-contained or "split-system" window or wall air conditioning machines)</t>
  </si>
  <si>
    <t>National security requirements (TBT); Prevention of deceptive practices and consumer protection (TBT); Protection of human health or safety (TBT); Protection of the environment (TBT)</t>
  </si>
  <si>
    <r>
      <rPr>
        <sz val="11"/>
        <rFont val="Calibri"/>
      </rPr>
      <t>https://members.wto.org/crnattachments/2026/TBT/ECU/26_00712_00_s.pdf</t>
    </r>
  </si>
  <si>
    <t>Draft amendments to the Rules for Registration and Examination of Medicinal Products for Medical Use </t>
  </si>
  <si>
    <t>Draft decision provides for the establishment of a unified codification of active substances by an International nonproprietary name (INN)</t>
  </si>
  <si>
    <t>Pharmaceutical products</t>
  </si>
  <si>
    <t>- protection of the patient's life and health (as an end user of medicines); - protection of the interests of the healthcare system; - protection of the interests of manufacturers of medicinal products and their authorized persons; - protection of the interests of authorized bodies (expert organizations) that carry out the procedure for assessment of the registration dossier of a medicinal product from the position of proving its safety and compliance with a given quality standard.</t>
  </si>
  <si>
    <t>10 calendar days after the date of official  publication</t>
  </si>
  <si>
    <r>
      <rPr>
        <sz val="11"/>
        <rFont val="Calibri"/>
      </rPr>
      <t>https://members.wto.org/crnattachments/2026/TBT/KGZ/26_00723_00_x.pdf</t>
    </r>
  </si>
  <si>
    <t>Draft amendments to the Rules for Registration and Examination of Medicinal Products for Medical Use</t>
  </si>
  <si>
    <t>Proposed amendment to Exempt Resolution No. 394/02 of the Ministry of Health, establishing nutritional guidelines for dietary supplements and their vitamin and mineral contents</t>
  </si>
  <si>
    <t>Resolución 128-2026-IPSA, Establecimiento de Requisitos Fitosanitarios para la Importación de semilla de frijol (Phaseolus vulgaris) origen Estados Unidos (Resolution No. 128-2026-IPSA establishing phytosanitary requirements for the importation of bean (Phaseolus vulgaris) seeds originating in the United States)</t>
  </si>
  <si>
    <t>The notified Resolution establishes the phytosanitary requirements for the importation of bean seeds from the United States of America.1. The shipment must be accompanied by an official phytosanitary certificate, stating in the additional declaration that the seeds have been inspected by the national plant protection organization (NPPO) of the country of origin and have been found free of: Pseudomonas savastanoi pv. phaseolicola, Xanthomonas axonopodis pv. glycines, Xanthomonas euvesicatoria pv. alfalfae, Curtobacterium flaccumfaciens pv. flaccumfaciens, Bean yellow mosaic virus, Fusarium oxysporum f. sp. phaseoli, Commelina benghalensis, Abutilon theophrasti, Urtica urens, Chenopodiastrum murale;2. The shipment must be free from soil and any foreign material or contaminants;3. The seeds must be presented in new, first-use packaging, completely free of foreign material or contaminants;4.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</si>
  <si>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Bean (Phaseolus vulgaris) seeds</t>
  </si>
  <si>
    <t>Pests; Territory protection</t>
  </si>
  <si>
    <r>
      <rPr>
        <sz val="11"/>
        <rFont val="Calibri"/>
      </rPr>
      <t>https://members.wto.org/crnattachments/2026/SPS/NIC/26_00729_00_s.pdf</t>
    </r>
  </si>
  <si>
    <t>Proposed amendment to Exempt Resolution No. 393/02 of the Ministry of Health, establishing nutritional guidelines on the use of vitamins, minerals and dietary fibres in food products</t>
  </si>
  <si>
    <t>Resolución 124-2026-IPSA, Establecimiento de Requisitos Fitosanitarios para la Importación de flores de corte margarita amarilla (Euryops pectinatus) origen Costa Rica (Resolution No. 124-2026-IPSA, establishing phytosanitary requirements for the importation of cut flowers, golden daisies (Euryops pectinatus), originating in Costa Rica)</t>
  </si>
  <si>
    <t>The notified Resolution establishes the phytosanitary requirements for the importation of cut golden daisies from Costa Rica.1. The shipment must be accompanied by an official phytosanitary certificate, which certifies that the plant product has been inspected by the national plant protection organization (NPPO) of the country of origin;2.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</si>
  <si>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Cut flowers, golden daisies (Euryops pectinatus)</t>
  </si>
  <si>
    <r>
      <rPr>
        <sz val="11"/>
        <rFont val="Calibri"/>
      </rPr>
      <t>https://members.wto.org/crnattachments/2026/SPS/NIC/26_00627_00_s.pdf</t>
    </r>
  </si>
  <si>
    <t>DEAS 1085:2021. Squeegee (rubber squeezer) — Specification, First Edition</t>
  </si>
  <si>
    <t>The aim of this addendum is to update WTO Members that the Draft East African Standard, DEAS 1085:2021. Squeegee (rubber squeezer) — Specification, First Edition, notified  G/TBT/N/BDI/209, G/TBT/N/KEN/1205, G/TBT/N/RWA/600, G/TBT/N/TZA/700, G/TBT/N/UGA/1540, was adopted by Tanzania on  31 October 2025 as a 4056:2025 /EAS 1085:2023. Squeegee (rubber squeezer) — Specification, First Edition</t>
  </si>
  <si>
    <t>Squeegee, rubber squeezer</t>
  </si>
  <si>
    <t>960390 - Mops and leather dusters; prepared knots and tufts for broom or brush making; squeegees of rubber or other flexible materials; brooms and brushes, n.e.s.; 960390 - Mops and leather dusters; prepared knots and tufts for broom or brush making; squeegees of rubber or other flexible materials; brooms and brushes, n.e.s.</t>
  </si>
  <si>
    <t>83.140.99 - Other rubber and plastics products; 83.140.99 - Other rubber and plastics products</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</si>
  <si>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Protection of the environment (TBT); Protection of the environment (TBT); Quality requirements (TBT); Quality requirements (TBT); Harmonization (TBT); Harmonization (TBT); Reducing trade barriers and facilitating trade (TBT); Reducing trade barriers and facilitating trade (TBT)</t>
  </si>
  <si>
    <t>DEAS 1083:2021, Sweeping broom (push brush) — Specification, First Edition</t>
  </si>
  <si>
    <t>The aim of this addendum is to update WTO Members that the Draft East African Standard, DEAS 1083:2021, Sweeping broom (push brush) — Specification, First Edition, notified  he original notificationG/TBT/N/BDI/206, G/TBT/N/KEN/1202, G/TBT/N/RWA/597, G/TBT/N/TZA/697, G/TBT/N/UGA/1537, was adopted by Tanzania on  31 October 2025 as a TZS 1095:2025/EAS 1083:2023, Sweeping broom (push brush) — Specification, First Edition</t>
  </si>
  <si>
    <t>Sweeping brooms, push brush</t>
  </si>
  <si>
    <t>DEAS 1103: 2022 Base oil — Specification</t>
  </si>
  <si>
    <t>The aim of this addendum is to update WTO Members that the Draft East African Standard, DEAS 1103: 2022 Base oil — Specification, notified G/TBT/N/BDI/276, G/TBT/N/KEN/1310, G/TBT/N/RWA/710, G/TBT/N/TZA/829, G/TBT/N/UGA/1684,  was adopted by Tanzania on  31 October 2025 as a TZS 4058:2025/EAS 1103: 2023 Base oil — Specification</t>
  </si>
  <si>
    <t>Petroleum oils and oils obtained from bituminous minerals, other than crude; preparations not elsewhere specified or included, containing by weight 70 % or more of petroleum oils or of oils obtained from bituminous minerals, these oils being the basic constituents of the preparations; waste oils. (HS code(s): 2710); Lubricants, industrial oils and related products (ICS code(s): 75.100)</t>
  </si>
  <si>
    <t>2710 - Petroleum oils and oils obtained from bituminous minerals (excl. crude); preparations containing &gt;= 70% by weight of petroleum oils or of oils obtained from bituminous minerals, these oils being the basic constituents of the preparations, n.e.s.; waste oils containing mainly petroleum or bituminous minerals; 2710 - Petroleum oils and oils obtained from bituminous minerals (excl. crude); preparations containing &gt;= 70% by weight of petroleum oils or of oils obtained from bituminous minerals, these oils being the basic constituents of the preparations, n.e.s.; waste oils containing mainly petroleum or bituminous minerals</t>
  </si>
  <si>
    <t>75.100 - Lubricants, industrial oils and related products; 75.100 - Lubricants, industrial oils and related products</t>
  </si>
  <si>
    <t>Draft Resolution 1382, 14 January 2026</t>
  </si>
  <si>
    <t>This draft resolution proposes the inclusion  of the agricultural use modality and updates the toxicological characteristics in Monograph G07 - GERANIOL, on the Monograph List of Active Ingredients for Pesticides, Household Cleaning Products and Wood Preservatives, which was published by Normative Instruction 103 on 19 October 2021 in the Brazilian Official Gazette (DOU - Diário Oficial da União).</t>
  </si>
  <si>
    <r>
      <rPr>
        <sz val="11"/>
        <rFont val="Calibri"/>
      </rPr>
      <t>https://members.wto.org/crnattachments/2026/SPS/BRA/26_00680_00_x.pdf
Draft: https://anvisalegis.datalegis.net/action/UrlPublicasAction.php?acao=abrirAtoPublico&amp;num_ato=00001382&amp;sgl_tipo=CPB&amp;sgl_orgao=ANVISA/MS&amp;vlr_ano=2026&amp;seq_ato=222&amp;cod_modulo=134&amp;cod_menu=1696
Comment form:  https://pesquisa.anvisa.gov.br/index.php/981613?lang=pt-BR</t>
    </r>
  </si>
  <si>
    <t>DEAS 1082:2021, Toilet brush — Specification, First Edition</t>
  </si>
  <si>
    <t>The aim of this addendum is to update WTO Members that the Draft East African Standard, DEAS 1082:2021, Toilet brush — Specification, First Edition, notified  G/TBT/N/BDI/205, G/TBT/N/KEN/1201, G/TBT/N/RWA/596, G/TBT/N/TZA/696, G/TBT/N/UGA/1536, was adopted by Tanzania on  31 October 2025 as a TZS 4057:2025/EAS 1082:2023, Toilet brush — Specification, First Edition</t>
  </si>
  <si>
    <t>Toilet brush</t>
  </si>
  <si>
    <t>DEAS 1080:2021, Plastic bucket — Specification, First Edition</t>
  </si>
  <si>
    <t>The aim of this addendum is to update WTO Members that the Draft East African Standard, DEAS 1080:2021, Plastic bucket — Specification, First Edition, notified  G/TBT/N/BDI/203, G/TBT/N/KEN/1199, G/TBT/N/RWA/594, G/TBT/N/TZA/694, G/TBT/N/UGA/1534, was adopted by Tanzania on  31 October 2025 as a TZS 1877-1:2025/EAS 1080:2023, Plastic bucket — Specification, First Edition</t>
  </si>
  <si>
    <t>Plastic bucket</t>
  </si>
  <si>
    <t>392690 - Articles of plastics and articles of other materials of heading 3901 to 3914, n.e.s (excl. goods of 9619); 392690 - Articles of plastics and articles of other materials of heading 3901 to 3914, n.e.s (excl. goods of 9619)</t>
  </si>
  <si>
    <t>DEAS 1093:2022, Compounded horse feed — Specification, First Edition</t>
  </si>
  <si>
    <t>The aim of this addendum is to update WTO Members that the Draft East African Standard, DEAS 1093:2022, Compounded horse feed — Specification, First Edition, notified  G/TBT/N/BDI/240, G/TBT/N/KEN/1259, G/TBT/N/RWA/670, G/TBT/N/TZA/780, G/TBT/N/UGA/1593, was adopted by Tanzania on  31 October 2025 as a TZS 3017:2025/EAS 1093:2023, Compounded horse feed — Specification, First Edition</t>
  </si>
  <si>
    <t>Consumer information, labelling (TBT); Consumer information, labelling (TBT); Prevention of deceptive practices and consumer protection (TBT); Prevention of deceptive practices and consumer protection (TBT); Protection of animal or plant life or health (TBT); Protection of animal or plant life or health (TBT); Quality requirements (TBT); Quality requirements (TBT)</t>
  </si>
  <si>
    <t>Establece requisitos fitosanitarios de importación para envíos de semillas de cualquier especie y procedentes de todo origen, para el control de malezas cuarentenarias y deroga Resolución SAG No 3.139 de 2003 (Phytosanitary import requirements for shipments of seeds of any species and any origin, to control quarantine weeds, and repeal of SAG Resolution No. 3.139 of 2003).</t>
  </si>
  <si>
    <t>The notified draft Resolution establishes phytosanitary requirements for the importation of seeds of any origin, to control the entry of quarantine weeds and define the type of purity analysis and official certificates of analysis required for the identification of weeds in shipments. In addition, it repeals Resolution No. 3139/2003.Further details can be found in the document attached hereto.</t>
  </si>
  <si>
    <t>Seeds of any species and any origin</t>
  </si>
  <si>
    <t>90 days from the date of publication in the Official Journal</t>
  </si>
  <si>
    <r>
      <rPr>
        <sz val="11"/>
        <rFont val="Calibri"/>
      </rPr>
      <t>https://members.wto.org/crnattachments/2026/SPS/CHL/26_00707_00_s.pdf
https://members.wto.org/crnattachments/2026/SPS/CHL/26_00707_01_s.pdf</t>
    </r>
  </si>
  <si>
    <t>DEAS 13: 2022, Packaged mineral water — Specification</t>
  </si>
  <si>
    <t>The aim of this addendum is to update WTO Members that the Draft East African Standard, DEAS 13: 2022, Packaged mineral water — Specification, notified  G/TBT/N/BDI/258, G/TBT/N/KEN/1287, G/TBT/N/RWA/693, G/TBT/N/TZA/812, G/TBT/N/UGA/1663 was adopted by Tanzania on  31 October 2025 as a TZS 573:2025/EAS 13: 2023, Packaged mineral water — Specification</t>
  </si>
  <si>
    <t>Drinking water (ICS code(s): 13.060.20)</t>
  </si>
  <si>
    <t>13.060.20 - Drinking water; 13.060.20 - Drinking water</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</si>
  <si>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Protection of animal or plant life or health (TBT); Protection of animal or plant life or health (TBT); Quality requirements (TBT); Quality requirements (TBT); Harmonization (TBT); Harmonization (TBT); Reducing trade barriers and facilitating trade (TBT); Reducing trade barriers and facilitating trade (TBT)</t>
  </si>
  <si>
    <t>DEAS 1081:2021, Plastic Basin — Specification, First Edition</t>
  </si>
  <si>
    <t>The aim of this addendum is to update WTO Members that the Draft East African Standard, DEAS 1081:2021, Plastic Basin — Specification, First Edition, notified  G/TBT/N/BDI/204, G/TBT/N/KEN/1200, G/TBT/N/RWA/595, G/TBT/N/TZA/695, G/TBT/N/UGA/1535, was adopted by Tanzania on  31 October 2025 as a TZS 1877-2:2025/EAS 1081:2023, Plastic Basin — Specification, First Edition</t>
  </si>
  <si>
    <t>Plastic Basin</t>
  </si>
  <si>
    <t>3924 - Tableware, kitchenware, other household articles and toilet articles, of plastics (excl. baths, shower-baths, washbasins, bidets, lavatory pans, seats and covers, flushing cisterns and similar sanitary ware); 3924 - Tableware, kitchenware, other household articles and toilet articles, of plastics (excl. baths, shower-baths, washbasins, bidets, lavatory pans, seats and covers, flushing cisterns and similar sanitary ware)</t>
  </si>
  <si>
    <t>The aim of this addendum is to update WTO Members that the Draft East African Standard, DEAS 1082:2021, Toilet brush — Specification, First Edition, notified  G/TBT/N/BDI/205, G/TBT/N/KEN/1201, G/TBT/N/RWA/596, G/TBT/N/TZA/696, G/TBT/N/UGA/1536, was adopted by Tanzania on  31 October 2025 as a TZS 1096:2025/EAS 1082:2023, Toilet brush — Specification, First Edition</t>
  </si>
  <si>
    <t>Resolución 127-2026-IPSA, Establecimiento de Requisitos Fitosanitarios para la Importación de grano de maíz blanco (Zea mays) origen Costa Rica (Resolution No. 127-2025-IPSA, establishing phytosanitary requirements for the importation of white maize (corn) (Zea mays) grain orginating in Costa Rica)</t>
  </si>
  <si>
    <t>The notified Resolution establishes the phytosanitary requirements for the importation of white maize (corn) grain from Costa Rica.1. The shipment must be accompanied by an official phytosanitary certificate, indicating that the grain has been inspected by the national plant protection organization (NPPO) of the country of origin;2.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</si>
  <si>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White maize (corn) (Zea mays) grain</t>
  </si>
  <si>
    <r>
      <rPr>
        <sz val="11"/>
        <rFont val="Calibri"/>
      </rPr>
      <t>https://members.wto.org/crnattachments/2026/SPS/NIC/26_00631_00_s.pdf</t>
    </r>
  </si>
  <si>
    <t>Consumer information, labelling (TBT); Prevention of deceptive practices and consumer protection (TBT); Protection of animal or plant life or health (TBT); Quality requirements (TBT)</t>
  </si>
  <si>
    <t>DEAS 1086:2021, Plastics — Codes for resin identification on plastic containers, First edition</t>
  </si>
  <si>
    <t>The aim of this addendum is to update WTO Members that the Draft East African Standard, DEAS 1086:2021, Plastics — Codes for resin identification on plastic containers, First edition, notified  G/TBT/N/BDI/208, G/TBT/N/KEN/1204, G/TBT/N/RWA/599, G/TBT/N/TZA/699, G/TBT/N/UGA/1539, was adopted by Tanzania on  31 October 2025 as a TZS 4055:2025/EAS 1086:2023, Plastics — Codes for resin identification on plastic containers, First edition</t>
  </si>
  <si>
    <t>Plastic containers</t>
  </si>
  <si>
    <t>3923 - Articles for the conveyance or packaging of goods, of plastics; stoppers, lids, caps and other closures, of plastics; 3923 - Articles for the conveyance or packaging of goods, of plastics; stoppers, lids, caps and other closures, of plastics</t>
  </si>
  <si>
    <t>Consumer information, labelling (TBT); Consumer information, labelling (TBT); Prevention of deceptive practices and consumer protection (TBT); Prevention of deceptive practices and consumer protection (TBT); Protection of the environment (TBT); Protection of the environment (TBT); Quality requirements (TBT); Quality requirements (TBT); Harmonization (TBT); Harmonization (TBT); Reducing trade barriers and facilitating trade (TBT); Reducing trade barriers and facilitating trade (TBT)</t>
  </si>
  <si>
    <t>The DLD order on temporary suspension of importation or transit of live poultry and poultry carcasses from Spain to prevent the spread of High Pathogenicity Avian Influenza</t>
  </si>
  <si>
    <t>Thailand proposes an amendment to the Department of Livestock Development (DLD) Order on temporary suspension of importation or transit of live poultry and poultry carcasses from Spain to prevent the spread of High Pathogenicity Avian Influenza by adding paragraph (2) as follows:   (1)  The WOAH has reported an outbreak of High Pathogenicity Avian Influenza (Subtype H5N1) in the area of Spain. Therefore, it is necessary for Thailand to prevent the entry of High Pathogenicity Avian Influenza (Subtype H5N1) into the country. By the virtue of the Animal Epidemics Act B.E. 2558 (2015), the importation or transit of live poultry and poultry carcasses from Spain has been temporarily suspended.    (2) Where live poultry and poultry carcasses from Spain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poultry or poultry carcasses into or through Thailand.</t>
  </si>
  <si>
    <t>Animal health; Animal diseases; Avian Influenza; Food safety; Human health; Modification of content/scope of regulation; Pest- or Disease- free Regions / Regionalization; Zoonoses; Human health; Pest- or Disease- free Regions / Regionalization; Zoonoses; Food safety; Animal diseases; Animal health; Avian Influenza</t>
  </si>
  <si>
    <t>The DLD order on temporary suspension of importation or transit of live poultry and poultry carcasses from Italy to prevent the spread of High Pathogenicity Avian Influenza</t>
  </si>
  <si>
    <t>Thailand proposes an amendment to the Department of Livestock Development (DLD) Order on temporary suspension of importation or transit of live poultry and poultry carcasses from Italy to prevent the spread of High Pathogenicity Avian Influenza by adding paragraph (2) as follows:  (1) The WOAH has reported an outbreak of High Pathogenicity Avian Influenza (Subtype H5N1) in the area of Italy. Therefore, it is necessary for Thailand to prevent the entry of High Pathogenicity Avian Influenza (Subtype H5N1) into the country. By the virtue of the Animal Epidemics Act B.E. 2558 (2015), the importation or transit of live poultry and poultry carcasses from Italy has been temporarily suspended.  (2) Where live poultry and poultry carcasses from Italy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poultry or poultry carcasses into or through Thailand.</t>
  </si>
  <si>
    <t>Animal health; Animal diseases; Modification of content/scope of regulation; Pest- or Disease- free Regions / Regionalization; Pest- or Disease- free Regions / Regionalization; Animal diseases; Animal health</t>
  </si>
  <si>
    <t>The DLD order on temporary suspension of importation or transit of live poultry and poultry carcasses from the Republic of Korea to prevent the spread of High Pathogenicity Avian Influenza</t>
  </si>
  <si>
    <t>Thailand proposes an amendment to the Department of Livestock Development (DLD) Order on temporary suspension of importation or transit of live poultry and poultry carcasses from the Republic of Korea to prevent the spread of High Pathogenicity Avian Influenza by adding paragraph (2) as follows:        (1) The WOAH has reported an outbreak of High Pathogenicity Avian Influenza (Subtype H5N1) in the area of the Republic of Korea. Therefore, it is necessary for Thailand to prevent the entry of High Pathogenicity Avian Influenza (Subtype H5N1) into the country. By the virtue of the Animal Epidemics Act B.E. 2558 (2015), the importation or transit of live poultry and poultry carcasses from the Republic of Korea has been temporarily suspended.       (2) Where live poultry and poultry carcasses from the Republic of Korea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poultry or poultry carcasses into or through Thailand.</t>
  </si>
  <si>
    <t>Live poultry and poultry carcasses</t>
  </si>
  <si>
    <t>Modification of content/scope of regulation; Avian Influenza; Animal health; Animal diseases; Animal diseases; Animal health; Avian Influenza</t>
  </si>
  <si>
    <t>Consumer information, labelling (TBT); Prevention of deceptive practices and consumer protection (TBT); Protection of the environment (TBT); Quality requirements (TBT); Harmonization (TBT); Reducing trade barriers and facilitating trade (TBT)</t>
  </si>
  <si>
    <t>The Draft Food Safety and Standards (Licensing and Registration of Food Business) Amendment Regulations, 2026 </t>
  </si>
  <si>
    <t>Draft Food Safety and Standards (Licensing and Registration of Food Business) Amendment Regulations, 2026  relating to provision of  maintain daily records of production and storage of raw materials, ingredients, work-in-progress and processed /cooked or packaged food products</t>
  </si>
  <si>
    <t>Food Products</t>
  </si>
  <si>
    <t>67.040 - Food products in general; 67.230 - Prepackaged and prepared foods</t>
  </si>
  <si>
    <t>Food Safety and Standards Authority of India proposes to provision for maintain daily records of production and storage of raw materials, ingredients, work-in-progress and processed /cooked or packaged food products, which will be applicable to licensee under Food Safety and Standards Act,2006.</t>
  </si>
  <si>
    <r>
      <rPr>
        <sz val="11"/>
        <rFont val="Calibri"/>
      </rPr>
      <t>https://members.wto.org/crnattachments/2026/TBT/IND/26_00704_00_e.pdf</t>
    </r>
  </si>
  <si>
    <t>Resolución 125-2026-IPSA Establecimiento de Requisitos Fitosanitarios para la Importación de follaje palmera fénix (Phoenix roebelenii) origen Costa Rica (Resolution No. 125-2026-IPSA establishing phytosanitary requirements for the importation of miniature date palm (Phoenix roebelenii) foliage originating in Costa Rica)</t>
  </si>
  <si>
    <t>The notified Resolution establishes the phytosanitary requirements for the importation of date palm foliage from Costa Rica.1. The shipment must be accompanied by an official phytosanitary certificate, indicating that the plant product has been inspected by the national plant protection organization (NPPO) of the country of origin and has been found free of: Ceroplastes stellifer;2.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</si>
  <si>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Miniature date palm (Phoenix roebelenii) foliage</t>
  </si>
  <si>
    <r>
      <rPr>
        <sz val="11"/>
        <rFont val="Calibri"/>
      </rPr>
      <t>https://members.wto.org/crnattachments/2026/SPS/NIC/26_00628_00_s.pdf</t>
    </r>
  </si>
  <si>
    <t>Resolución 126-2026-IPSA, Establecimiento de Requisitos Fitosanitarios para la Importación de fibra algodón (Gossypium herbaceum) origen Honduras (Resolution No. 126-2026-IPSA, establishing phytosanitary requirements for the importation of cotton (Gossypium herbaceum) fibre originating in Honduras).</t>
  </si>
  <si>
    <t>The notified Resolution establishes the phytosanitary requirements for the importation of cotton fibre from Honduras.1. The shipment must be accompanied by an official phytosanitary certificate, indicating that the plant product has been inspected by the national plant protection organization (NPPO) of the country of origin.Shipments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</si>
  <si>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Cotton (Gossypium herbaceum) fibre</t>
  </si>
  <si>
    <t>Territory protection; Pests</t>
  </si>
  <si>
    <r>
      <rPr>
        <sz val="11"/>
        <rFont val="Calibri"/>
      </rPr>
      <t>https://members.wto.org/crnattachments/2026/SPS/NIC/26_00629_00_s.pdf</t>
    </r>
  </si>
  <si>
    <t>Amendments to CCR Title 3 Section 3867 on Labeling of Seed Containers</t>
  </si>
  <si>
    <t>This rulemaking action by the California Department of Food and Agriculture (CDFA) adopts labeling requirements for vegetable seeds in containers of more than one pound.California Department of Food and Agriculture (CDFA) Plant Health Regulation Activities:_x000D_
https://www.cdfa.ca.gov/plant/Regulations.htmlCalifornia Notice Register, Number 5-Z, 30 January 2026; page 145:_x000D_
https://oal.ca.gov/wp-content/uploads/sites/166/2026/01/2026-Notice-Register-No.-5-Z-January-30-2026.pdf</t>
  </si>
  <si>
    <t>Seed container labels; Plant growing (ICS code(s): 65.020.20)</t>
  </si>
  <si>
    <t>65.020.20 - Plant growing; 65.020.20 - Plant growing</t>
  </si>
  <si>
    <t>Consumer information, labelling (TBT); Protection of animal or plant life or health (TBT); Harmonization (TBT); Cost saving and productivity enhancement (TBT)</t>
  </si>
  <si>
    <r>
      <rPr>
        <sz val="11"/>
        <rFont val="Calibri"/>
      </rPr>
      <t>https://members.wto.org/crnattachments/2026/TBT/USA/final_measure/26_00711_00_e.pdf</t>
    </r>
  </si>
  <si>
    <t>Resolución 123-2026-IPSA, Establecimiento de Requisitos Fitosanitarios para la Importación de grano de café (Coffea arabica) origen Honduras (Resolution No. 123-2026-IPSA, establishing phytosanitary requirements for the importation of coffee (Coffea arabica) beans originating in Honduras)</t>
  </si>
  <si>
    <t>The notified Resolution establishes the phytosanitary requirements for the importation of coffee beans from Honduras.1. The shipment must be accompanied by an official phytosanitary certificate, indicating that the beans have been inspected by the national plant protection organization (NPPO) of the country of origin;2.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</si>
  <si>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Coffee (Coffea arabica) beans</t>
  </si>
  <si>
    <r>
      <rPr>
        <sz val="11"/>
        <rFont val="Calibri"/>
      </rPr>
      <t>https://members.wto.org/crnattachments/2026/SPS/NIC/26_00626_00_s.pdf</t>
    </r>
  </si>
  <si>
    <t>Notification for revision of ER on ““VHF UHF Radio System Equipment, TEC5843XXXX”,number of pages:18 and language: EnglishDetails of standards specified in essential requirements version-2 (Annexure to ERs) TEC/TC/DD/TCP-222/2.26/December 2024</t>
  </si>
  <si>
    <t>This ER covers VHF and UHF Radio Base Station, User Terminals and Repeater. This ER contains seven variants.</t>
  </si>
  <si>
    <t>Telecommunication</t>
  </si>
  <si>
    <t>33.020 - Telecommunications in general</t>
  </si>
  <si>
    <t>The proposed draft revised ER on “VHF UHF Radio System Equipment, TEC5843XXXX” VHF and UHF Radio Base Station, User Terminals and Repeater. This ER contains seven variants.</t>
  </si>
  <si>
    <r>
      <rPr>
        <sz val="11"/>
        <rFont val="Calibri"/>
      </rPr>
      <t xml:space="preserve">https://members.wto.org/crnattachments/2026/TBT/IND/26_00705_00_e.pdf
https://members.wto.org/crnattachments/2026/TBT/IND/26_00705_01_e.pdf
</t>
    </r>
  </si>
  <si>
    <t>Draft Resolution 1383, 15 January 2026</t>
  </si>
  <si>
    <t>This draft resolution proposes the inclusion of active ingredient  I35 - METHYL ICAFOLINE on the Monograph List of Active Ingredients for Pesticides, Household Cleaning Products and Wood Preservatives, which was published by Normative Instruction 103 on 19 October 2021 in the Brazilian Official Gazette (DOU - Diário Oficial da União).</t>
  </si>
  <si>
    <r>
      <rPr>
        <sz val="11"/>
        <rFont val="Calibri"/>
      </rPr>
      <t>https://members.wto.org/crnattachments/2026/SPS/BRA/26_00681_00_x.pdf
Draft: https://anvisalegis.datalegis.net/action/UrlPublicasAction.php?acao=abrirAtoPublico&amp;num_ato=00001383&amp;sgl_tipo=CPB&amp;sgl_orgao=ANVISA/MS&amp;vlr_ano=2026&amp;seq_ato=222&amp;cod_modulo=134&amp;cod_menu=1696
Comment form:  https://pesquisa.anvisa.gov.br/index.php/985181?lang=pt-BR</t>
    </r>
  </si>
  <si>
    <t>Establece requisitos fitosanitarios de importación para platas de frutilla (Fragaria x ananassa) procedentes de Egipto (Phytosanitary import requirements for strawberry (Fragaria × ananassa) plants from Egypt)</t>
  </si>
  <si>
    <t>The notified measure provides information on the draft Resolution establishing import requirements for strawberry (Fragaria × ananassa) plants from Egypt.Further details can be found in the document attached hereto.</t>
  </si>
  <si>
    <t>Strawberry (Fragaria × ananassa) plants</t>
  </si>
  <si>
    <t>60 days from the date of publication in the Official Journal</t>
  </si>
  <si>
    <r>
      <rPr>
        <sz val="11"/>
        <rFont val="Calibri"/>
      </rPr>
      <t>https://members.wto.org/crnattachments/2026/SPS/CHL/26_00724_00_s.pdf</t>
    </r>
  </si>
  <si>
    <t>Proposed amendments to the “Specification and Test Methods for Biological Products"</t>
  </si>
  <si>
    <t>The Ministry of Food and Drug Safety (MFDS) is amending the “Specification and Test Methods for Biological Products” as follows: 1) Extension of the shelf life of plasma for manufacturing plasma-derived medicinal products to 3 years in the General Requirements for Blood Products, etc.2) Establishment of new specifications and test methods for two products (washed platelets and multicomponent apheresis plasma) in the Monographs for Biological Products.</t>
  </si>
  <si>
    <t>Medicinal products, biological products</t>
  </si>
  <si>
    <r>
      <rPr>
        <sz val="11"/>
        <rFont val="Calibri"/>
      </rPr>
      <t>https://members.wto.org/crnattachments/2026/TBT/KOR/26_00713_00_x.pdf</t>
    </r>
  </si>
  <si>
    <t>MFDS NOTIFICATION No. 2026-57, 30 January 2026</t>
  </si>
  <si>
    <t>Draft Partial Amendment to the Enforcement Rules of the Regulation on Testing and Inspection and Related Procedures for Manufactured Motor Vehicles </t>
  </si>
  <si>
    <t>The test procedure has been revised to include testing of the low-temperature single-charge driving range for electric vehicles.</t>
  </si>
  <si>
    <t>Electric passenger vehicles with a gross weight rating (GVWR) of 3.5 tonners of more</t>
  </si>
  <si>
    <t>43.120 - Electric road vehicles</t>
  </si>
  <si>
    <r>
      <rPr>
        <sz val="11"/>
        <rFont val="Calibri"/>
      </rPr>
      <t>https://members.wto.org/crnattachments/2026/TBT/KOR/26_00717_00_x.pdf</t>
    </r>
  </si>
  <si>
    <t>Ministry of Climate, Energy and Environment Pubic Notice 2026-78</t>
  </si>
  <si>
    <t>Consumer information, labelling (TBT); Prevention of deceptive practices and consumer protection (TBT); Protection of human health or safety (TBT); Protection of animal or plant life or health (TBT); Quality requirements (TBT); Harmonization (TBT); Reducing trade barriers and facilitating trade (TBT)</t>
  </si>
  <si>
    <t>Commission Implementing Regulation (EU) 2026/164 of 26 January 2026 concerning the renewal of the authorisation of an aqueous solution of choline chloride and a preparation of choline chloride as feed additives for all animal species and repealing Implementing Regulation (EU) No 795/2013 (Text with EEA relevance)</t>
  </si>
  <si>
    <t>The substance and the preparation covered by the Act are authorised for a period of ten years as feed additives for all animal species in the additive category ‘nutritional additives’ and in the functional group ‘vitamins, pro-vitamins and chemically well-defined substances having similar effect’. An application was submitted for the renewal of the authorisation of this substance and the preparation in accordance with article 14 of Regulation (EC) No 1831/2003. Based on the favourable conclusions of a scientific assessment of the dossier submitted by the applicant, conducted by the European Food Safety Authority (EFSA), the authorisation of this substance and the preparation as feed additives for all animal species is renewed under certain conditions detailed in the Annex to the Act. A transitional period is included for the interested parties to meet the new authorisation requirements.</t>
  </si>
  <si>
    <r>
      <rPr>
        <sz val="11"/>
        <rFont val="Calibri"/>
      </rPr>
      <t>https://members.wto.org/crnattachments/2026/SPS/EEC/26_00719_00_e.pdf
https://members.wto.org/crnattachments/2026/SPS/EEC/26_00719_00_f.pdf
https://members.wto.org/crnattachments/2026/SPS/EEC/26_00719_00_s.pdf</t>
    </r>
  </si>
  <si>
    <t>Publication duCNR-195, 3re édition - Matériel de service de communication sans fil (SCSF) fonctionnant dans les bandes de 2305 à 2320 MHz et de 2345 à 2360 MHz</t>
  </si>
  <si>
    <t>Notice is hereby given that Innovation, Science and Economic Development Canada (ISED) has published the following document:Radio Standards Specification RSS-195, issue 3, sets out the requirements for the certification of Wireless Communication Service (WCS) equipment operating in the frequency bands 2305 – 2320 MHz and 2345 – 2360 MHz.</t>
  </si>
  <si>
    <t>The Kingdom of Saudi Arabia/ Vitamins and Minerals permitted for use in foodstuff</t>
  </si>
  <si>
    <t>This draft technical regulation concerns the fortification of food products with vitamins and minerals to improve the nutritional value of the product. On 20 October 2020, the Kingdom of Saudi Arabia notified WTO (SPS) about this Technical Regulation (G/SPS/N/SAU/439). The updated draft includes modifications to Article 4.</t>
  </si>
  <si>
    <t>ICS Code(s): 67.040</t>
  </si>
  <si>
    <t>Food additives; Food safety; Human health; Modification of content/scope of regulation; Food additives; Food safety; Human health</t>
  </si>
  <si>
    <r>
      <rPr>
        <sz val="11"/>
        <rFont val="Calibri"/>
      </rPr>
      <t>https://members.wto.org/crnattachments/2026/SPS/SAU/26_00686_00_x.pdf</t>
    </r>
  </si>
  <si>
    <t>Receipt of Pesticide Petitions Filed for Residues of Pesticide Chemicals In or On Various Commodities -- December 2025 </t>
  </si>
  <si>
    <t>This document announces the Agency's receipt of and solicits 
public comment on initial filings of pesticide petitions requesting the 
establishment or modification of regulations for residues of pesticide 
chemicals in or on various commodities. </t>
  </si>
  <si>
    <t>Various commodities</t>
  </si>
  <si>
    <r>
      <rPr>
        <sz val="11"/>
        <rFont val="Calibri"/>
      </rPr>
      <t>https://www.govinfo.gov/content/pkg/FR-2026-02-02/html/2026-01991.htm</t>
    </r>
  </si>
  <si>
    <t>Receipt of Pesticide Petitions Filed for Residues of Pesticide Chemicals in or on Various Commodities -- November 2025 </t>
  </si>
  <si>
    <r>
      <rPr>
        <sz val="11"/>
        <rFont val="Calibri"/>
      </rPr>
      <t>https://www.govinfo.gov/content/pkg/FR-2026-01-28/html/2026-01654.htm</t>
    </r>
  </si>
  <si>
    <t>Energy Drinks</t>
  </si>
  <si>
    <t>Description of the Measure_x000D_
The State of Kuwait hereby notifies the World Trade Organization that, pursuant to Ministerial Resolution No._x000D_
(351) of 2025 issued by the Ministry of Health regulating the circulation and sale of energy drinks in the State of Kuwait, a transitional period of six (6) months has been granted to producers and importers of energy drink products._x000D_
This transitional period applies exclusively to the amendment of food labels and mandatory information statements affixed to energy drink packages, in order to ensure full compliance with the labelling and warning requirements stipulated under the above-mentioned Ministerial Resolution._x000D_
Scope and Limitations_x000D_
It is emphasized that the granted transitional period:_x000D_
*  ﻿is strictly limited to labelling and information requirements only: and ND NUTRITION_x000D_
*  ﻿Does not affect, delay, suspend, or exempt the application of any other provisions of Ministerial Resolution No. (351) of 2025._x000D_
All other regulatory requirements, including restrictions related to circulation, marketing, and consumer protection measures, remain fully applicable and enforceable from the date of publication of the Resolution in the Official Gazette.Objective a n d RationaleThe objective of granting this transitional period is to:_x000D_
• Facilitate a smooth regulatory transition for economic operators;_x000D_
• Ensure adequate time for technical adjustments to product labels; and_x000D_
• Maintain transparency and predictability in trade measures, in line with the principles of the WTO_x000D_
Agreement on Technical Barriers to Trade (TBT Agreement), without compromising public health_x000D_
protection._x000D_
International Trade Impact_x000D_
The measure is non-discriminatory, applies equally to domestic and imported products, and is not intended to create unnecessary obstacles to international trade.</t>
  </si>
  <si>
    <t>Beverages (ICS code(s): 67.160)</t>
  </si>
  <si>
    <t>67.160 - Beverages; 67.160 - Beverages</t>
  </si>
  <si>
    <t>Food Safety.</t>
  </si>
  <si>
    <r>
      <rPr>
        <sz val="11"/>
        <rFont val="Calibri"/>
      </rPr>
      <t>https://members.wto.org/crnattachments/2026/TBT/KWT/26_00593_00_x.pdf
https://members.wto.org/crnattachments/2026/TBT/KWT/26_00593_00_e.pdf
https://members.wto.org/crnattachments/2026/TBT/KWT/26_00593_01_e.pdf</t>
    </r>
  </si>
  <si>
    <t>25-Hour Cockpit Voice Recorder (CVR) Requirement, New Aircraft 
Production</t>
  </si>
  <si>
    <t xml:space="preserve">This final rule increases the recording time of cockpit voice recorders (CVRs) from the currently mandated 2 hours to 25 hours for all affected future manufactured aircraft. This action provides accident investigators, aircraft operators, and civil aviation authorities with substantially more CVR data to help determine the probable causes of incidents and accidents and prevent future incidents and accidents. The action will also align the Federal Aviation Administration's (FAA) regulations more closely with existing international requirements.91 Federal Register (FR) 4447, 2 February 2026; Title 14 Code of Federal Regulations (CFR) Parts 91121125, and 135_x000D_
https://www.govinfo.gov/content/pkg/FR-2026-02-02/html/2026-02110.htm_x000D_
https://www.govinfo.gov/content/pkg/FR-2026-02-02/pdf/2026-02110.pdfFAA is establishing three compliance timeframes for certain aircraft and operators in response to the 2024 FAA Reauthorization Act (“Act”) and comments received on the associated notice of proposed rulemakingG/TBT/N/USA/2075) with this final rule. First, per the Act, covered aircraft manufactured one year or more after the enactment of the Act, or 16 May 2025, and operating under 14 CFR part 121 or transport category aircraft designed for operations by an air carrier or foreign air carrier type-certificated with 30 or more passenger seats must be equipped with a CVR capable of recording 25 hours of information. Second, aircraft required to be equipped with a CVR, operating under parts 91125, or 135 with a Maximum Certificated Takeoff Weight (MCTOW) of 59,525lbs./27,000 kg with 29 or fewer passenger seats are required to be equipped with a 25-hour CVR one year after the effective date of the final rule. Third, aircraft manufactured on or after three years from the effective date of the final rule, required to be equipped with a CVR, operating under parts 91125, or 135, and with a 59,524 lbs./26,999 kg or less MCTOW must be equipped with a CVR capable of recording for 25 hours.This final rule and the notice of proposed rulemaking notified as G/TBT/N/USA/2075 is identified by Docket Number FAA-2023-2270. The Docket Folder is available on Regulations.gov at https://www.regulations.gov/docket/FAA-2023-2270/document and provides access to primary documents as well as comments received. Documents are also accessible from Regulations.gov by searching the Docket Number._x000D_
</t>
  </si>
  <si>
    <t>Cockpit voice recorders; On-board equipment and instruments (ICS code(s): 49.090)</t>
  </si>
  <si>
    <t>49.090 - On-board equipment and instruments; 49.090 - On-board equipment and instruments</t>
  </si>
  <si>
    <r>
      <rPr>
        <sz val="11"/>
        <rFont val="Calibri"/>
      </rPr>
      <t>https://members.wto.org/crnattachments/2026/TBT/USA/final_measure/26_00682_00_e.pdf</t>
    </r>
  </si>
  <si>
    <t>Draft - Establishes the phytosanitary requirements for the importation of fresh persimmon fruit (Diospyros kaki) produced in Portugal</t>
  </si>
  <si>
    <t>Draft Ordinance aiming to establish the phytosanitary requirements for the importation of fresh persimmon fruit (Category 3) (Diospyros kaki) produced in Portugal.</t>
  </si>
  <si>
    <t>Diospyros kaki</t>
  </si>
  <si>
    <t>Territory protection; Plant health; Pests</t>
  </si>
  <si>
    <r>
      <rPr>
        <sz val="11"/>
        <rFont val="Calibri"/>
      </rPr>
      <t>https://members.wto.org/crnattachments/2026/SPS/BRA/26_00646_00_x.pdf</t>
    </r>
  </si>
  <si>
    <t>Draft. Establishes the phytosanitary requirements for the importation of fresh persimmon fruit (Diospyros kaki) produced in Spain</t>
  </si>
  <si>
    <t>Draft Ordinance aiming to establish the phytosanitary requirements for the importation of fresh persimmon fruit (Category 3) (Diospyros kaki) produced in Spain.</t>
  </si>
  <si>
    <r>
      <rPr>
        <sz val="11"/>
        <rFont val="Calibri"/>
      </rPr>
      <t>https://members.wto.org/crnattachments/2026/SPS/BRA/26_00663_00_x.pdf</t>
    </r>
  </si>
  <si>
    <t>Amendments to the Legal Inspection Requirements for Wooden Board Commodities</t>
  </si>
  <si>
    <t>The purpose of this notification is to provide the final texts of "Amendments to the Legal Inspection Requirements for Wooden Board Commodities" and relevant dates of its implementation. The draft texts notified in "G/TBT/N/TPKM/570" were adopted with a minor change, namely that the originally proposed implementation date of 1 April 2026 is extended to 1 July 2026.</t>
  </si>
  <si>
    <t>Wooden board commodities (HS code(s): 44)</t>
  </si>
  <si>
    <t>44 - WOOD AND ARTICLES OF WOOD; WOOD CHARCOAL; 44 - WOOD AND ARTICLES OF WOOD; WOOD CHARCOAL</t>
  </si>
  <si>
    <t>79.060 - Wood-based panels; 79.060 - Wood-based panels</t>
  </si>
  <si>
    <r>
      <rPr>
        <sz val="11"/>
        <rFont val="Calibri"/>
      </rPr>
      <t>https://members.wto.org/crnattachments/2026/TBT/TPKM/final_measure/26_00647_00_x.pdf
https://members.wto.org/crnattachments/2026/TBT/TPKM/final_measure/26_00647_00_e.pdf</t>
    </r>
  </si>
  <si>
    <t>Draft Resolution of the Cabinet of Ministers of Ukraine “On Approval of the Procedure for State Registration (Reregistration) of Medicines” </t>
  </si>
  <si>
    <t>This draft Resolution of the Cabinet of Ministers of Ukraine revises the previously notified version of the Procedure for the State Registration (Re-registration) of Medicines.The revised draft has been developed by the Ministry of Health of Ukraine in accordance with the Law of Ukraine No. 2469-IX “On Medicines” and aims to further specify and update the unified procedural framework for the state registration (reregistration) of medicines, including finished medicines and immunobiological medicines, in alignment with Directive 2001/83/EC of the European Parliament and of the Council of 6 November 2001 on the Community code relating to medicinal products for human use.The revision introduces mandatory electronic submission of applications and registration dossiers in accordance with the electronic Common Technical Document (eCTD) standard, clarifies procedural steps and timelines for evaluation and decision-making, the procedure for amendments to registration dossier materials, as well as grounds for refusal, suspension, cancellation or termination of state registration.The revised measure also provides for the repeal of certain previous regulatory acts governing the state registration of medicines, in order to ensure consistency with the updated legal framework.</t>
  </si>
  <si>
    <t>Medicines</t>
  </si>
  <si>
    <t>Prevention of deceptive practices and consumer protection (TBT); Protection of human health or safety (TBT); Harmonization (TBT)</t>
  </si>
  <si>
    <t>This Resolution shall enter into force simultaneously with the enactment of the Law of Ukraine of 28 July 2022 No. 2469-IX "On Medicines", which shall be enacted 30 months after the termination of martial law, except for certain provisions as notified in document G/TBT/N/UKR/301.</t>
  </si>
  <si>
    <r>
      <rPr>
        <sz val="11"/>
        <rFont val="Calibri"/>
      </rPr>
      <t>https://members.wto.org/crnattachments/2026/TBT/UKR/26_00607_00_x.pdf
https://members.wto.org/crnattachments/2026/TBT/UKR/26_00607_01_x.pdf
https://members.wto.org/crnattachments/2026/TBT/UKR/26_00607_02_x.pdf</t>
    </r>
  </si>
  <si>
    <t>Laws of Ukraine "On Medicines" No. 2469-ІХ of 28 July 2024; "On the Protection of the Population from Infectious Diseases"; "On the safety and quality of donor blood and blood components"; Resolution of the Cabinet of Ministers of Ukraine of 26 May 2005 No. 376 "On Approval of the Procedure for State Registration (Reregistration) of Medicines and Fees for Their State Registration (Reregistration)";Resolution of the Cabinet of Ministers of Ukraine of 29 December 2021 No. 1446 "Some issues of state registration of medicines, vaccines or other medical immunobiological products for the treatment and/or specific prevention of acute respiratory disease COVID-19 caused by the SARS-CoV-2 coronavirus, subject to for emergency medical use";Directive 2001/83/EC of the European Parliament and of the Council of 6 November 2001 on the Community code relating to medicines for human use.</t>
  </si>
  <si>
    <t xml:space="preserve">Agency Information Collection Activities; Extension of 
Collection; Safety Standard for Clothing Storage Units&gt;_x000D_
</t>
  </si>
  <si>
    <t>As required by the Paperwork Reduction Act of 1995 (PRA), the 
Consumer Product Safety Commission (CPSC or Commission) announces that 
the Commission has submitted to the Office of Management and Budget 
(OMB) a request for extension of approval of information collection 
requirements associated with the Safety Standard for Clothing Storage 
Units. OMB previously approved the collection of information under 
control number 3041-0191. OMB's most recent extension of approval will 
expire on 28 February 2026. On 28 November 2025, CPSC published a &gt;notice in the Federal Register to announce the agency's intention to 
seek extension of approval of the collection of information (notified as G/TBT/N/USA/1323/Add.6). The 
Commission received one public comment in support of this information 
collection. Therefore, by publication of this notice, the Commission 
announces that CPSC has submitted to OMB a request for extension of 
approval of that collection of information.&gt;Submit comments on the collection of information by 2 March 
2026.91 Federal Register (FR) 4067, 30 January 2026:_x000D_
https://www.govinfo.gov/content/pkg/FR-2026-01-30/html/2026-01885.htm_x000D_
https://www.govinfo.gov/content/pkg/FR-2026-01-30/pdf/2026-01885.pdfThis notice of information collection; request for comment is identified by Docket Number CPSC-2017-0044. The Docket Folder is available on Regulations.gov at https://www.regulations.gov/docket/CPSC-2017-0044/document and provides access to primary and supporting documents as well as comments received. Documents are also accessible from Regulations.gov by searching the Docket Number. WTO Members and their stakeholders are asked to submit comments to the USA TBT Enquiry Point. Comments received by the USA TBT Enquiry Point from WTO Members and their stakeholders by 4pmEastern Time on 2 March 2026 will be shared with CPSC and will also be submitted to the Docket on Regulations.gov if received within the comment period.Previous actions notified under the symbol G/TBT/N/USA/1323 are identified by Docket Numbers CPSC-2017-0044 and CPSC-2023-0015 and provide access to primary and supporting documents as well as comments received. Documents are also accessible from Regulations.gov by searching the Docket Number.</t>
  </si>
  <si>
    <t>Clothing storage units</t>
  </si>
  <si>
    <t>97.140 - Furniture; 97.140 - Furniture</t>
  </si>
  <si>
    <r>
      <rPr>
        <sz val="11"/>
        <rFont val="Calibri"/>
      </rPr>
      <t>https://members.wto.org/crnattachments/2026/TBT/USA/26_00638_00_e.pdf</t>
    </r>
  </si>
  <si>
    <t>Specifications and Standards for Foods, Food Additives, Etc. under the Food Sanitation Act (Revision of agricultural chemical residue standards, final rule)</t>
  </si>
  <si>
    <t>The proposed maximum residue limits (MRLs) for Butachlor notified in G/SPS/N/JPN/1355 (dated 17 July 2025) were adopted and published on 7 October 2025.The specified MRLs are available as below:</t>
  </si>
  <si>
    <t>・ Aquatic animals and crustaceans, molluscs and other aquatic invertebrates (HS codes: 03.02, 03.03, 03.04, 03.06, 03.07 and 03.08)_x000D_
・ Cereals (HS code: 10.06) </t>
  </si>
  <si>
    <t>1006 - Rice; 0308 - Aquatic invertebrates other than crustaceans and molluscs, live, fresh, chilled, frozen, dried, salted or in brine, even smoked; 0306 - Crustaceans, whether in shell or not, live, fresh, chilled, frozen, dried, salted or in brine, even smoked, incl. crustaceans in shell cooked by steaming or by boiling in water; 0304 - Fish fillets and other fish meat, whether or not minced, fresh, chilled or frozen; 0303 - Frozen fish (excl. fish fillets and other fish meat of heading 0304); 0302 - Fish, fresh or chilled (excl. fish fillets and other fish meat of heading 0304); 0302 - Fish, fresh or chilled (excl. fish fillets and other fish meat of heading 0304); 0303 - Frozen fish (excl. fish fillets and other fish meat of heading 0304); 0304 - Fish fillets and other fish meat, whether or not minced, fresh, chilled or frozen; 0306 - Crustaceans, whether in shell or not, live, fresh, chilled, frozen, dried, salted or in brine, even smoked, incl. crustaceans in shell cooked by steaming or by boiling in water; 0308 - Aquatic invertebrates other than crustaceans and molluscs, live, fresh, chilled, frozen, dried, salted or in brine, even smoked; 1006 - Rice</t>
  </si>
  <si>
    <t>Maximum residue limits (MRLs); Human health; Food safety; Adoption/publication/entry into force of reg.; Maximum residue limits (MRLs); Food safety; Human health</t>
  </si>
  <si>
    <r>
      <rPr>
        <sz val="11"/>
        <rFont val="Calibri"/>
      </rPr>
      <t>https://members.wto.org/crnattachments/2026/SPS/JPN/26_00649_00_e.pdf</t>
    </r>
  </si>
  <si>
    <t>Ordinance of 22 September 1997 on Organic Farming (910.181 EAER )</t>
  </si>
  <si>
    <t>Amendments in the lists of products and substances authorised to be used in organic production, in particular: plant protection products, fertilisers, feed material, feed additives and food additives and processing aids. </t>
  </si>
  <si>
    <t>organic products</t>
  </si>
  <si>
    <t>Protection of animal or plant life or health (TBT); Quality requirements (TBT); Harmonization (TBT)</t>
  </si>
  <si>
    <t>The corrections and amendment of the lists of products and substances are based on requests for new uses and correction of specifications and listing in line with horizontal rules.</t>
  </si>
  <si>
    <t>Food standards; Animal health; Plant health</t>
  </si>
  <si>
    <t>Third trimester of 2026</t>
  </si>
  <si>
    <r>
      <rPr>
        <sz val="11"/>
        <rFont val="Calibri"/>
      </rPr>
      <t>https://members.wto.org/crnattachments/2026/TBT/CHE/26_00653_00_f.pdf
https://members.wto.org/crnattachments/2026/TBT/CHE/26_00653_00_x.pdf
https://members.wto.org/crnattachments/2026/TBT/CHE/26_00653_01_x.pdf</t>
    </r>
  </si>
  <si>
    <t>The Federal Department of Economic Affairs, Education and Research (EAER) Ordinance on Organic Farming of 22 September 1997 (910.181) in force:EAER  Ordinance of  22  September 1997  on  Organic Farming In line with:Implementing regulation - EU - 2025/2501 - EN - EUR-Lex</t>
  </si>
  <si>
    <t>Law of Ukraine No. 4718 “On Amendments to Certain Laws of Ukraine Aimed at Aligning Regulation in the Fields of Veterinary Medicine, Animal Welfare and Feed with European Union Legislation”</t>
  </si>
  <si>
    <t>The Law introduces amendments to Ukraine's legislation aimed at aligning sanitary and veterinary measures with the European Union acquis in the fields of animal health, animal welfare, food and feed safety and official veterinary controls._x000D_
In particular, the Law provides for:_x000D_
- improving measures to ensure animal health, including the modernization of financing mechanisms for veterinary and sanitary measures and enhancement of epizootic surveillance and biosecurity systems;_x000D_
- improving state veterinary and sanitary control (supervision) over the production, registration, circulation and use of veterinary drugs;_x000D_
- introduction of EU-aligned animal welfare standards, including requirements related to keeping, transport and humane slaughter of farm animals;_x000D_
- regulation of feed and feed additives in order to ensure a high level of protection of animal and human health;_x000D_
- restrictions on the use of antimicrobial veterinary drugs, including the prohibition of their use for growth promotion and routine prophylactic purposes, in line with EU approaches._x000D_
The adopted measures aim to protect human and animal health, prevent the spread of animal diseases, ensure the safe circulation of products subject to sanitary and veterinary control, and facilitate international trade through alignment with EU sanitary and phytosanitary rules.</t>
  </si>
  <si>
    <t>Veterinary drugs, animal feed</t>
  </si>
  <si>
    <r>
      <rPr>
        <sz val="11"/>
        <rFont val="Calibri"/>
      </rPr>
      <t>https://members.wto.org/crnattachments/2026/SPS/UKR/26_00624_00_x.pdf
https://zakon.rada.gov.ua/laws/show/4718-20#Text</t>
    </r>
  </si>
  <si>
    <t>NCh 3274/2: 2015 Medidores para agua potable fría y agua caliente — Parte 2: Métodos de ensayos</t>
  </si>
  <si>
    <t>The notified Standard is applicable to the type evaluation and routine verification testing of water meters for cold potable water and hot water as defined in NCh No. 3274/1. Certificates of conformity must be issued for water meters in accordance with the provisions of NCh No. 3274/1.The notified text sets out details of the test programme, principles, equipment and procedures to be used for the type evaluation, and routine verification of a meter type.The provisions of this Standard also apply to ancillary devices.The provisions include requirements for testing the complete water meter and for testing the measurement transducer (including the flow or volume sensor) and the calculator (including the indicating device) of a water meter as separate units.</t>
  </si>
  <si>
    <t>Medidores para agua potable fría y agua caliente.</t>
  </si>
  <si>
    <t>G/TBT/N/CHL/782- 2 - • ISO 4064-1:2014|OIML R 49-1:2013, Water meters for cold potable water and hot water — Part 1: Metrological and technical requirements.• ISO 4064-3:2014|OIML R 49-3:2013, Water meters for cold potable water and hot water — Part 3: Test report format.• ISO/IEC Guide 98-3:2008, Uncertainty of measurement — Part 3: Guide to the expression of uncertainty in measurement (GUM:1995).• IEC 60068-2-1, Environmental testing - Part 2-1: Tests - Test A: Cold.• IEC 60068-2-2, Environmental testing - Part 2-2: Tests - Test B: Dry heat.• IEC 60068-2-30, Environmental testing - Part 2-30: Tests - Test Db: Damp heat, cyclic (12 h + 12 h cycle).• IEC 60068-2-31, Environmental testing - Part 2-31: Tests - Test Ec: Rough handling shocks, primarily for equipment-type specimens.• IEC 60068-2-47, Environmental testing - Part 2-47: Test - Mounting of specimens for vibration, impact and similar dynamic tests.• IEC 60068-2-64, Environmental testing - Part 2-64: Tests - Test Fh: Vibration, broadband random and guidance.• IEC 60068-3-4, Environmental testing - Part 3-4: Supporting documentation and guidance - Damp heat tests.• IEC 60654-2, Operating conditions for industrial-process measurement and control equipment. Part 2: Power.• IEC 61000-2-1, Electromagnetic compatibility (EMC) - Part 2: Environment - Section 1: Description of the environment - Electromagnetic environment for low-frequency conducted disturbances and signalling in public power supply systems.• IEC 61000-2-2, Electromagnetic compatibility (EMC) - Part 2-2: Environment - Compatibility levels for low-frequency conducted disturbances and signalling in public low-voltage power supply systems.• IEC 61000-4-1, Electromagnetic compatibility (EMC) - Part 4-1: Testing and measurement techniques - Overview of IEC 61000-4 series.• IEC 61000-4-2, Electromagnetic compatibility (EMC) - Part 4-2: Testing and measurement techniques - Electrostatic discharge immunity test.• IEC 61000-4-3, Electromagnetic compatibility (EMC) - Part 4-3: Testing and measurement techniques - Radiated, radio frequency, electromagnetic field immunity test.• IEC 61000-4-4, Electromagnetic compatibility (EMC) - Part 4-4: Testing and measurement techniques - Electrical fast transient/burst immunity test.• IEC 61000-4-5, Electromagnetic compatibility (EMC) - Part 4-5: Testing and measurement techniques - Surge immunity test.• IEC 61000-4-6, Electromagnetic compatibility (EMC) - Part 4-6: Testing and measurement techniques - Immunity to conducted disturbances, induced by radio-frequency fields.• IEC 61000-4-11, Electromagnetic compatibility (EMC) - Part 4-11: Testing and measurement techniques - Voltage dips, short interruptions and voltage variations immunity tests.• IEC 61000-6-1, Electromagnetic compatibility (EMC) - Part 6-1: Generic standards - Immunity standard for residential, commercial and light-industrial environments.• IEC 61000-6-2, Electromagnetic compatibility (EMC) - Part 6-2: Generic standards - Immunity standard for industrial environments.• OIML D 11:2004, General requirements for electronic measuring instruments.G/TBT/N/CHL/782- 3 - • OIML G 13:1989, Planning of metrology and testing laboratories.</t>
  </si>
  <si>
    <t>NCh 3274/5 2023 Medidores para agua potable fría y agua caliente — Parte 5: Requisitos de instalación</t>
  </si>
  <si>
    <t>The notified Standard applies to water meters used to meter the volume of cold potable water and hot water flowing through a fully charged, closed conduit. These water meters incorporate devices which indicate the integrated volume.The notified text specifies criteria for the selection of single, combination and concentric water meters, associated fittings, installation, special requirements for meters, and the first operation of new or repaired meters to ensure accurate constant measurements and reliable reading of the meter.In addition to meters based on mechanical principles, the notified text also applies to water meters based on electrical or electronic principles, and to water meters based on mechanical principles incorporating electronic devices, used to measure the volume of cold potable water and hot water. It also applies to electronic ancillary devices. Ancillary devices are optional. However, national or international regulations may make some ancillary devices mandatory in relation to the utilization of the water meter.The recommendations of the notified text apply to water meters, irrespective of technology, defined as integrating measuring instruments continuously determining the volume of water flowing through them.G/TBT/N/CHL/783- 2 -</t>
  </si>
  <si>
    <t>- ISO 4064-5:2014, Water meters for cold potable water and hot water - Part 5: Installation requirements.- NCh2836, Agua potable - Sistemas de arranques - Especificaciones.- NCh3274/1:2018, Medidores para agua potable fría y agua caliente - Parte 1: Requisitos metrológicos y técnicos.- ISO 6817, Measurement of conductive liquid flow in closed conduits — Method using electromagnetic flowmeters.</t>
  </si>
  <si>
    <t>Partial Amendment of the Regulation for Radio Equipment,etc.</t>
  </si>
  <si>
    <t>The revisions announced in G/TBT/N/JPN/878 dated 1 September, 2025 will enter into force on 5  February,2026. The texts of the amendments in Japanese are available on the following: Website of the Ministry of Internal Affairs and Communications.https://www.soumu.go.jp/menu_hourei/s_shourei.html</t>
  </si>
  <si>
    <t>43GHz Band Train Station Platform Image Transmission System and 43GHz Band Train Radio Communication System.</t>
  </si>
  <si>
    <t>As the number of installations related to the radio communication systems for train using the 43GHz band is expected to increase in the future, there is concern about increased interference between systems. Therefore, an amendment to establish the necessary technical standards to prevent interference will be implemented.</t>
  </si>
  <si>
    <r>
      <rPr>
        <sz val="11"/>
        <rFont val="Calibri"/>
      </rPr>
      <t>Ministerial Ordinance for partial revision of the Regulation for Radio Equipment 
etc.(Ministerial Ordinance of Ministry of Internal Affairs and Communications
 No.11 of 2026.) (Available in Japanese.)
https://www.soumu.go.jp/menu_hourei/s_shourei.html</t>
    </r>
  </si>
  <si>
    <t>Notice of SB 54 Plastic Pollution Prevention and Packaging Producer Responsibility Act Permanent Regulations</t>
  </si>
  <si>
    <t>The California Department of Resources Recycling and Recovery (CalRecycle) is providing an additional 15-day public comment period, which began 29 January 2026 and ends on 13 February 2026.Current DocumentsNotice of 15-Day Changes to Proposed Rulemaking The notice of changes that have been made to the original proposed regulations.Updated Proposed Regulation Text. The updated express language that shows any proposed adoption, amendment, or deletion to the regulations.Notice of Proposed ActionThe notice of proposed adoption, amendment, or repeal of regulations.Proposed Regulation TextThe express language that shows any proposed adoption, amendment, or deletion to the regulations. Initial Statement of Reasons An explanation of all proposed changes to the regulations.WTO Members and their stakeholders are asked to submit comments to the USA TBT Enquiry Point by or before 4pmEastern Time on 13 February 2026. Comments received by the USA TBT Enquiry Point from WTO Members and their stakeholders will be shared with CalRecycle if received within the comment period. Comments will be submitted electronically: SB 54 Plastic Pollution Prevention and Packaging Producer Responsibility Act 15-Day Comment PeriodBackground: CalRecycle is proposing permanent regulations for Senate Bill (SB) 54.SB 54 establishes the Plastic Pollution Prevention and Packaging Producer Responsibility Act, which imposes minimum content requirements for single-use packaging and single-use plastic food service ware, to be achieved through an extended producer responsibility (EPR) program.California’s landmark packaging law is the most significant overhaul of California’s plastics and packaging recycling policy in history. It goes further than any other state on cutting single-use plastic at the source and represents a giant step toward a more circular economy that is essential to combat climate change.The law establishes California’s largest EPR program by regulating several thousand producers — as many as an estimated 5,741 — whereas other California EPR programs regulate fewer than 1,000 producers.The legislation shifts the plastic pollution burden from consumers to producers, typically the companies that create — or package their products in — single-use packaging and single-use plastic food service ware. Producers must pay $5 billion over 10 years — $500 million per year beginning in 2027 — to:Address the environmental impacts of plastic pollution andAid affected environmental justice communities most impacted by the damaging effects of single-use plastic waste.The law requires producers to ensure that by 2032:100% of single-use packaging and single-use plastic food service ware sold in the state is recyclable or compostable65% of single-use plastic packaging and single-use food service ware is recycled and25% reduction, compared to 2023, in the sale or distribution of single-use plastic packaging and single-use food service ware.The law requires CalRecycle to adopt permanent regulations.SB 54 Plastic Pollution Prevention and Packaging Producer Responsibility Act Permanent Regulations:https://calrecycle.ca.gov/Laws/Rulemaking/SB54Regulations/</t>
  </si>
  <si>
    <t>Plastic packaging; Quality (ICS code(s): 03.120); Environmental protection (ICS code(s): 13.020); Recycling (ICS code(s): 13.030.50); Packaging materials and accessories (ICS code(s): 55.040); Bottles. Pots. Jars (ICS code(s): 55.100); Plastics (ICS code(s): 83.080)</t>
  </si>
  <si>
    <t>03.120 - Quality; 13.020 - Environmental protection; 13.030.50 - Recycling; 55.040 - Packaging materials and accessories; 55.100 - Bottles. Pots. Jars; 83.080 - Plastics; 03.120 - Quality; 13.020 - Environmental protection; 13.030.50 - Recycling; 55.040 - Packaging materials and accessories; 55.100 - Bottles. Pots. Jars; 83.080 - Plastics</t>
  </si>
  <si>
    <t>Prevention of deceptive practices and consumer protection (TBT); Protection of the environment (TBT); Quality requirements (TBT)</t>
  </si>
  <si>
    <r>
      <rPr>
        <sz val="11"/>
        <rFont val="Calibri"/>
      </rPr>
      <t xml:space="preserve">https://members.wto.org/crnattachments/2026/TBT/USA/modification/26_00645_00_e.pdf
https://members.wto.org/crnattachments/2026/TBT/USA/modification/26_00645_01_e.pdf
https://calrecycle.ca.gov/Laws/Rulemaking/SB54Regulations/
</t>
    </r>
  </si>
  <si>
    <t>The proposed maximum residue limits (MRLs) for Prallethrin notified in G/SPS/N/JPN/1358 (dated 17 July 2025) were adopted and published on 7 October 2025.The specified MRLs are available as below:</t>
  </si>
  <si>
    <t>Meat and edible meat offal (HS codes: 02.01, 02.02, 02.03, 02.06, 02.07 and 02.09)Dairy produce and birds' eggs (HS codes: 04.01, 04.07 and 04.08)Animal originated products (HS code: 05.04)Animal fats and oils (HS codes: 15.01 and 15.02)</t>
  </si>
  <si>
    <t>0201 - Meat of bovine animals, fresh or chilled; 0203 - Meat of swine, fresh, chilled or frozen; 0206 - Edible offal of bovine animals, swine, sheep, goats, horses, asses, mules or hinnies, fresh, chilled or frozen; 0207 - Meat and edible offal of fowls of the species Gallus domesticus, ducks, geese, turkeys and guinea fowls, fresh, chilled or frozen; 0209 - Pig fat, free of lean meat, and poultry fat, not rendered or otherwise extracted, fresh, chilled, frozen, salted, in brine, dried or smoked; 0401 - Milk and cream, not concentrated nor containing added sugar or other sweetening matter; 0407 - Birds' eggs, in shell, fresh, preserved or cooked; 0408 - Birds' eggs, not in shell, and egg yolks, fresh, dried, cooked by steaming or by boiling in water, moulded, frozen or otherwise preserved, whether or not containing added sugar or other sweetening matter; 0504 - Guts, bladders and stomachs of animals (other than fish), whole and pieces thereof, fresh, chilled, frozen, salted, in brine, dried or smoked.; 1501 - Pig fat, incl. lard, and poultry fat, rendered or otherwise extracted (excl. lard stearin and lard oil); 0202 - Meat of bovine animals, frozen; 1502 - Fats of bovine animals, sheep or goats (excl. oil and oleostearin); 1502 - Fats of bovine animals, sheep or goats (excl. oil and oleostearin); 0202 - Meat of bovine animals, frozen; 1501 - Pig fat, incl. lard, and poultry fat, rendered or otherwise extracted (excl. lard stearin and lard oil); 0504 - Guts, bladders and stomachs of animals (other than fish), whole and pieces thereof, fresh, chilled, frozen, salted, in brine, dried or smoked.; 0408 - Birds' eggs, not in shell, and egg yolks, fresh, dried, cooked by steaming or by boiling in water, moulded, frozen or otherwise preserved, whether or not containing added sugar or other sweetening matter; 0407 - Birds' eggs, in shell, fresh, preserved or cooked; 0401 - Milk and cream, not concentrated nor containing added sugar or other sweetening matter; 0209 - Pig fat, free of lean meat, and poultry fat, not rendered or otherwise extracted, fresh, chilled, frozen, salted, in brine, dried or smoked; 0207 - Meat and edible offal of fowls of the species Gallus domesticus, ducks, geese, turkeys and guinea fowls, fresh, chilled or frozen; 0206 - Edible offal of bovine animals, swine, sheep, goats, horses, asses, mules or hinnies, fresh, chilled or frozen; 0203 - Meat of swine, fresh, chilled or frozen; 0201 - Meat of bovine animals, fresh or chilled</t>
  </si>
  <si>
    <r>
      <rPr>
        <sz val="11"/>
        <rFont val="Calibri"/>
      </rPr>
      <t>https://members.wto.org/crnattachments/2026/SPS/JPN/26_00652_00_e.pdf</t>
    </r>
  </si>
  <si>
    <t>Ordinance SDA/MAPA No. 1.366 of 12 September 2025 - Provides for the requirements and inspection procedures for the importation of used vehicles, machinery and equipment</t>
  </si>
  <si>
    <t>This Ordinance provides for the requirements and inspection procedures for the importation of used vehicles, machinery and equipment, and applies to vehicles, machinery and equipment, whether for agricultural use or not, that were previously used in other countries and that have come into contact with soil or plant material.</t>
  </si>
  <si>
    <t>Vehicles, machinery and equipment </t>
  </si>
  <si>
    <r>
      <rPr>
        <sz val="11"/>
        <rFont val="Calibri"/>
      </rPr>
      <t>https://members.wto.org/crnattachments/2026/SPS/BRA/26_00644_00_x.pdf
https://www.in.gov.br/web/dou/-/portaria-sda/mapa-n-1.366-de-12-de-setembro-de-2025-655726977</t>
    </r>
  </si>
  <si>
    <t>Order Imposing Conditions in Relation to Secondary Control Zones In Respect of African Swine Fever</t>
  </si>
  <si>
    <t>The Canadian Food Inspection Agency (CFIA) has implemented new import requirements for select feed ingredients imported from countries identified as posing a potential concern with respect to African Swine Fever (ASF). The identified products will require an import permit prior to importation from the specified countries and the conditions in the implementing order and the import permit will need to be met. These conditions may include certification of origin, heat treatment and/or hold times (depending on the product in question) designed to mitigate the risk of contamination of these products with the African Swine Fever virus.Canada has amended the list of regions or countries likely to be affected by this measure to add Angola. The updated list is noted below:Regions or countries likely to be affected, to the extent relevant or practicable:[ ]     All trading partners[X]    Specific regions or countries: Albania; Angola; Bangladesh; Benin; Bosnia and Herzegovina; Bulgaria*; Burkina Faso; Burundi; Cabo Verde; Cambodia; Cameroon; Central African Republic; Chad; China; Congo; Côte d'Ivoire; Croatia; Czech Republic*; Dominican Republic; Estonia*; The Gambia; Germany*; Ghana; Greece*; Guinea-Bissau; Haiti; Hong Kong, China; Hungary*; India; Indonesia; Italy*; Kenya; Lao People's Democratic Republic; Latvia*; Lithuania*; Madagascar; Malawi; Malaysia; Mali; Republic of Moldova; Mongolia; Montenegro; Mozambique; Myanmar; Namibia; Nepal; Nigeria; Papua New Guinea; Philippines; Poland*; Republic of Korea; Republic of North Macedonia; Romania*; Russian Federation; Rwanda; Senegal; Serbia; Sierra Leone; Singapore; Slovak Republic*; South Africa; Spain*; Sri Lanka; Sweden*; Chinese Taipei; Tanzania; Thailand; Togo; Ukraine; Viet Nam; Zambia; Zimbabwe* denotes recognition of regionalization.</t>
  </si>
  <si>
    <t>Raw/unprocessed grains and their associated meals. Implicated HS codes:Chapter 1010 01 19 Durum wheat: Other; 10 01 99 Wheat and meslin: Other ;10 02 90 Rye: Other; 10 03 90 Barley: Other; 10 04 90 Oats: Other; 10 05 90 Maize (corn): Other; 10 06 10 Rice in the husk (paddy or rough); 10 07 90 Grain sorghum: Other; 10 08 10 Buckwheat; 10 08 60 TriticaleChapter 11All commoditiesChapter 1212 01 90 Soya beans, whether or not broken: Other; 12 04 00 Linseed, whether or not broken; 12 05 10 Low erucic acid rape or colza seeds; 12 05 90 Other; 12 06 00 Sunflower seeds; 12 07 60 Safflower (Carthamus tinctorius) seeds; 12 07 99 Other: Other; 12 08 Flours and meals of oil seeds or oleaginous fruits, other than those of mustardChapter 2323 02 Brans, sharps, and other residues derived from cereals or leguminous plants; 23 03 10 Residues of starch manufacture and similar residues; 23 04 Oil-cake and other solid residues from extraction of soya-bean oil; 23 06 oil cake and other solid residues from extraction of vegetable fats or oils; 23 06 10 Of cotton seeds; 23 06 20 Of linseed; 23 06 30 Of sunflower seeds; 23 06 41 Of rape or colza seeds (low erucic acid); 23 06 49 Of rape or colza seeds (other); 23 06 90 Other; 23 09 90 Other (select commodities)</t>
  </si>
  <si>
    <t>230990 - Preparations of a kind used in animal feeding (excl. dog or cat food put up for retail sale); 230649 - Oilcake and other solid residues, whether or not ground or in the form of pellets, resulting from the extraction of high erucic acid rape or colza seeds "yielding a fixed oil which has an erucic acid content of &gt;= 2% and yielding a solid component of glucosinolates of &gt;= 30 micromoles/g"; 230310 - Residues of starch manufacture and similar residues; 2302 - Bran, sharps and other residues, whether or not in the form of pellets, derived from the sifting, milling or other working of cereals or of leguminous plants; 1208 - Flours and meals of oil seeds or oleaginous fruits (excl. mustard); 120799 - Oil seeds and oleaginous fruits, whether or not broken (excl. edible nuts, olives, soya beans, groundnuts, copra, linseed, rape or colza seeds, sunflower seeds, cotton, sesamum, mustard and poppy seeds); 1207 - Other oil seeds and oleaginous fruits, whether or not broken (excl. edible nuts, olives, soya beans, groundnuts, copra, linseed, rape or colza seeds and sunflower seeds); 1206 - Sunflower seeds, whether or not broken.; 120590 - High erucic rape or colza seeds "yielding a fixed oil which has an erucic acid content of &gt;= 2% and yielding a solid component of glucosinolates of &gt;= 30 micromoles/g", whether or not broken; 120510 - Low erucic acid rape or colza seeds "yielding a fixed oil which has an erucic acid content of &lt; 2% and yielding a solid component of glucosinolates of &lt; 30 micromoles/g"; 1204 - Linseed, whether or not broken.; 1201 - Soya beans, whether or not broken.; 11 - PRODUCTS OF THE MILLING INDUSTRY; MALT; STARCHES; INULIN; WHEAT GLUTEN; 100810 - Buckwheat; 1008 - Buckwheat, millet, canary seed and other cereals (excl. wheat and meslin, rye, barley, oats, maize, rice and grain sorghum); 1007 - Grain sorghum.; 100610 - Rice in the husk, "paddy" or rough; 100590 - Maize (excl. seed); 1004 - Oats.; 1003 - Barley.; 1002 - Rye.; 1001 - Wheat and meslin; 2306 - Oilcake and other solid residues, whether or not ground or in the form of pellets, resulting from the extraction of vegetable fats or oils (excl. from soya-bean oil and groundnut oil); 230610 - Oilcake and other solid residues, whether or not ground or in the form of pellets, resulting from the extraction of cotton seeds; 230620 - Oilcake and other solid residues, whether or not ground or in the form of pellets, resulting from the extraction of linseed; 230630 - Oilcake and other solid residues, whether or not ground or in the form of pellets, resulting from the extraction of sunflower seeds; 230641 - Oilcake and other solid residues, whether or not ground or in the form of pellets, resulting from the extraction of low erucic acid rape or colza seeds "yielding a fixed oil which has an erucic acid content of &lt; 2% and yielding a solid component of glucosinolates of &lt; 30 micromoles/g"; 230690 - Oilcake and other solid residues, whether or not ground or in the form of pellets, resulting from the extraction of vegetable fats or oils (excl. of cotton seeds, linseed, sunflower seeds, rape or colza seeds, coconut or copra, palm nuts or kernels, or from the extraction of soya-bean oil or groundnut oil); 2304 - Oil-cake and other solid residues, whether or not ground or in the form of pellets, resulting from the extraction of soyabean oil.; 230990 - Preparations of a kind used in animal feeding (excl. dog or cat food put up for retail sale); 230990 - Preparations of a kind used in animal feeding (excl. dog or cat food put up for retail sale); 1003 - Barley.; 1004 - Oats.; 1008 - Buckwheat, millet, canary seed and other cereals (excl. wheat and meslin, rye, barley, oats, maize, rice and grain sorghum); 1201 - Soya beans, whether or not broken.; 11 - PRODUCTS OF THE MILLING INDUSTRY; MALT; STARCHES; INULIN; WHEAT GLUTEN; 1206 - Sunflower seeds, whether or not broken.; 1208 - Flours and meals of oil seeds or oleaginous fruits (excl. mustard); 2306 - Oilcake and other solid residues, whether or not ground or in the form of pellets, resulting from the extraction of vegetable fats or oils (excl. from soya-bean oil and groundnut oil); 100810 - Buckwheat; 2302 - Bran, sharps and other residues, whether or not in the form of pellets, derived from the sifting, milling or other working of cereals or of leguminous plants; 100590 - Maize (excl. seed); 1204 - Linseed, whether or not broken.; 120799 - Oil seeds and oleaginous fruits, whether or not broken (excl. edible nuts, olives, soya beans, groundnuts, copra, linseed, rape or colza seeds, sunflower seeds, cotton, sesamum, mustard and poppy seeds); 100610 - Rice in the husk, "paddy" or rough; 1001 - Wheat and meslin; 1007 - Grain sorghum.; 1207 - Other oil seeds and oleaginous fruits, whether or not broken (excl. edible nuts, olives, soya beans, groundnuts, copra, linseed, rape or colza seeds and sunflower seeds); 230310 - Residues of starch manufacture and similar residues; 230630 - Oilcake and other solid residues, whether or not ground or in the form of pellets, resulting from the extraction of sunflower seeds; 230641 - Oilcake and other solid residues, whether or not ground or in the form of pellets, resulting from the extraction of low erucic acid rape or colza seeds "yielding a fixed oil which has an erucic acid content of &lt; 2% and yielding a solid component of glucosinolates of &lt; 30 micromoles/g"; 1002 - Rye.; 120510 - Low erucic acid rape or colza seeds "yielding a fixed oil which has an erucic acid content of &lt; 2% and yielding a solid component of glucosinolates of &lt; 30 micromoles/g"; 120590 - High erucic rape or colza seeds "yielding a fixed oil which has an erucic acid content of &gt;= 2% and yielding a solid component of glucosinolates of &gt;= 30 micromoles/g", whether or not broken; 2304 - Oil-cake and other solid residues, whether or not ground or in the form of pellets, resulting from the extraction of soyabean oil.; 230620 - Oilcake and other solid residues, whether or not ground or in the form of pellets, resulting from the extraction of linseed; 230610 - Oilcake and other solid residues, whether or not ground or in the form of pellets, resulting from the extraction of cotton seeds; 2302 - Bran, sharps and other residues, whether or not in the form of pellets, derived from the sifting, milling or other working of cereals or of leguminous plants; 230610 - Oil-cake and other solid residues, whether or not ground or in the form of pellets, resulting from the extraction of cotton seeds; 230310 - Residues of starch manufacture and similar residues; 1207 - Other oil seeds and oleaginous fruits, whether or not broken (excl. edible nuts, olives, soya beans, ground-nuts, copra, linseed, rape or colza seeds and sunflower seeds); 1008 - Buckwheat, millet, canary seed and other cereals (excl. wheat and meslin, rye, barley, oats, maize, rice and grain sorghum); 1007 - Grain sorghum; 1208 - Flours and meals of oil seeds or oleaginous fruits (excl. mustard); 1206 - Sunflower seeds, whether or not broken; 1201 - Soya beans, whether or not broken; 1004 - Oats; 1003 - Barley; 230641 - Oil-cake and other solid residues, whether or not ground or in the form of pellets, resulting from the extraction of low erucic acid rape or colza seeds "yielding a fixed oil which has an erucic acid content of &lt; 2% and yielding a solid component of glucosinolates of &lt; 30 micromoles/g"; 230630 - Oil-cake and other solid residues, whether or not ground or in the form of pellets, resulting from the extraction of sunflower seeds; 120799 - Oil seeds and oleaginous fruits, whether or not broken (excl. edible nuts, olives, soya beans, ground-nuts, copra, linseed, rape or colza seeds, sunflower seeds, palm nuts and kernels, cotton, castor oil, sesamum, mustard, safflower and poppy seeds); 230649 - Oilcake and other solid residues, whether or not ground or in the form of pellets, resulting from the extraction of high erucic acid rape or colza seeds "yielding a fixed oil which has an erucic acid content of &gt;= 2% and yielding a solid component of glucosinolates of &gt;= 30 micromoles/g"; 100590 - Maize (excl. seed); 2306 - Oil-cake and other solid residues, whether or not ground or in the form of pellets, resulting from the extraction of vegetable fats or oils (excl. from soya-bean oil and ground-nut oil); 11 - PRODUCTS OF THE MILLING INDUSTRY; MALT; STARCHES; INULIN; WHEAT GLUTEN; 230690 - Oil-cake and other solid residues, whether or not ground or in the form of pellets, resulting from the extraction of vegetable fats or oils (excl. of cotton seeds, linseed, sunflower seeds, rape or colza seeds, coconut or copra, palm nuts or kernels, maize "corn" germ, or from the extraction of soya-bean oil or ground-nut oil); 230649 - Oil-cake and other solid residues, whether or not ground or in the form of pellets, resulting from the extraction of high erucic acid rape or colza seeds "yielding a fixed oil which has an erucic acid content of &gt;= 2% and yielding a solid component of glucosinolates of &gt;= 30 micromoles/g"; 2304 - Oil-cake and other solid residues, whether or not ground or in the form of pellets, resulting from the extraction of soya-bean oil; 120590 - High erucic rape or colza seeds "yielding a fixed oil which has an erucic acid content of &gt;= 2% and yielding a solid component of glucosinolates of &gt;= 30 micromoles/g", whether or not broken; 120510 - Low erucic acid rape or colza seeds "yielding a fixed oil which has an erucic acid content of &lt; 2% and yielding a solid component of glucosinolates of &lt; 30 micromoles/g"; 100810 - Buckwheat; 1002 - Rye; 230620 - Oil-cake and other solid residues, whether or not ground or in the form of pellets, resulting from the extraction of linseed; 1204 - Linseed, whether or not broken; 100610 - Rice in the husk, "paddy" or rough; 1001 - Wheat and meslin; 230690 - Oilcake and other solid residues, whether or not ground or in the form of pellets, resulting from the extraction of vegetable fats or oils (excl. of cotton seeds, linseed, sunflower seeds, rape or colza seeds, coconut or copra, palm nuts or kernels, or from the extraction of soya-bean oil or groundnut oil)</t>
  </si>
  <si>
    <t>Pest- or Disease- free Regions / Regionalization; Animal health; Animal diseases; African swine fever (ASF); African swine fever (ASF); Pest- or Disease- free Regions / Regionalization; Animal health; Animal diseases</t>
  </si>
  <si>
    <t>Georgia</t>
  </si>
  <si>
    <t>Revision of technical conditions of SST 19:98 "Iodized table (food grade) salt", Georgian standard</t>
  </si>
  <si>
    <t>This regulation defines iodized table salt's chemical requirements.</t>
  </si>
  <si>
    <t>Iodized table salt</t>
  </si>
  <si>
    <t>25 - SALT; SULPHUR; EARTHS AND STONE; PLASTERING MATERIALS, LIME AND CEMENT</t>
  </si>
  <si>
    <r>
      <rPr>
        <sz val="11"/>
        <rFont val="Calibri"/>
      </rPr>
      <t>https://members.wto.org/crnattachments/2026/SPS/GEO/26_00563_00_x.pdf</t>
    </r>
  </si>
  <si>
    <t xml:space="preserve">
</t>
  </si>
  <si>
    <t>Updated proposal on Clinical Trials Regulations and Regulations Amending Certain Regulations Relating to Clinical Trials </t>
  </si>
  <si>
    <t>On December 23, 2025, proposed amendments to the Clinical Trials Regulations and Regulations Amending Certain Regulations Relating to Clinical Trials were notified in G/TBT/N/CAN/766. The proposed Regulations would establish a new, standalone framework under the Food and Drugs Act for clinical trials involving drugs for human use. The purpose of this addendum is to consult stakeholders on proposed policy for:clinical trials involving CTOs with the proposed Clinical Trials Regulations; and clinical trials involving blood and blood components (herein referred to as blood) with the proposed Clinical Trials RegulationsClinical trials involving CTOsCTOs are typically regulated under the Safety of Human Cells, Tissues, and Organs Regulations (CTOR). The CTOR provides a framework designed to minimize potential health risks by establishing safety requirements for the processing and handling of CTOs that are transplanted under standard medical practice. However, when CTOs are used as investigational products in a clinical trial, they are subject to Canada’s clinical trial regulations instead. Health Canada is proposing an exemption from the requirement to hold a clinical trial authorization under the proposed Clinical Trial Regulations for low-risk trials in which the cell, tissue or organ that is being investigated is minimally manipulated and is used for the same basic function in the recipient as in the donor (i.e. homologous use), provided no other drugs are being used in the trial for a purpose or condition of use for which a notice of compliance was not issued and one of the following conditions are met:The cell, tissue or organ is retrieved from someone (donor) other than the clinical trial participant/recipient (i.e. allogeneic) and is processed in accordance with the CTOR by a registered source establishment; orthe cell, tissue or organ is retrieved from the clinical trial participant/recipient (i.e. autologous donation) and would fall under the scope of the CTOR had it been allogeneic and transplanted under standard medical practice.CTOs intended to perform a different function (i.e. non-homologous use) in the clinical trial participant/recipient than in the donor, would not be eligible for an exemption from the requirement to hold a clinical trial authorization. In addition, CTOs that are not the subject of investigation in the clinical trial would be exempt from the requirements of the Clinical Trials RegulationsHealth Canada is also proposing to provide regulatory certainty to stakeholders by aligning the quality requirements for CTOs used in clinical trials with existing requirements in the CTOR. These requirements are intended to be outcome-based, allowing stakeholders the flexibility to comply in a manner that aligns with their operational capacity.Clinical trials involving bloodBlood is typically regulated under the Blood Regulations. The current blood framework is designed to safeguard Canadian blood recipients by ensuring the safety of blood used for transfusion or for further manufacturing into drugs for human use. However, when blood is used as an investigational product in a clinical trial it is subject to Canada’s clinical trial regulations instead.Health Canada is proposing an exemption from the requirement to hold a clinical trial authorization under the proposed Clinical Trial Regulations for low-risk clinical trials where blood is the subject of the investigation and no other drugs are being used in the trial for a purpose or condition of use for which a notice of compliance was not issued, in the following circumstances:In the case of allogeneic blood, the blood has been processed by a licenced establishment in accordance with an authorization and determined safe for distribution under the Blood Regulations; orIn the case of autologous blood, the blood has been processed by a registered establishment and determined safe for autologous transfusion in accordance with the Blood RegulationsIn addition, blood that is not the subject of investigation in a clinical trial would be exempt from the requirements of the Clinical Trials RegulationsHealth Canada is also proposing to provide regulatory certainty to stakeholders by aligning the quality requirements for blood used in clinical trials, with requirements in the Blood Regulations. These requirements are intended to be outcome-based, allowing stakeholders the flexibility to meet quality expectations in a manner that aligns with their operational capacity.For more information on the proposed updates to the Clinical Trials Regulations for trials that involve blood or CTOs, please contact brdd-cppic_brdd-cppci@hc-sc.gc.ca and enquirypoint@international.gc.ca</t>
  </si>
  <si>
    <t>NCh 3911/4 :2025  Sistemas de rehabilitación mediante materiales plásticos para redes subterráneas de conducción de agua — Parte 4: Revestimiento en continuo_x000D_
con tubo curado en obra</t>
  </si>
  <si>
    <t>This notified Standard, in conjunction with NCh No. 3911/1, specifies requirements and test methods for cured-in-place pipes (CIPP) and fittings used for the renovation of water supply networks, which transport water intended for human consumption, including raw water intake pipelines.It applies to independent (fully structural, class A) and interactive (semi structural, class B) pressure pipe liners, as defined in ISO 11295, which do not rely on adhesion to the existing pipeline. It applies to the use of various thermosetting resin systems, in combination with compatible fibrous carrier materials, reinforcement, and other process-related plastics components (see 5.1).It does not include requirements or test methods for resistance to cyclic loading or the pressure rating of CIPP liners where passing through bends, which are outside the scope of this Standard.It is applicable to cured-in-place pipe lining systems intended to be used at a service temperature of up to 25°C.G/TBT/N/CHL/785- 2 - NOTE: For applications operating at service temperatures greater than 25°C, guidance on re-rating factors can be supplied by the system supplier.</t>
  </si>
  <si>
    <t>Materiales plásticos para redes subterráneas de conducción de agua</t>
  </si>
  <si>
    <t>• ISO 11296, Plastics piping systems for renovation of underground non-pressure drainage and sewerage networks.• ISO 11297, Plastics piping systems for renovation of underground drainage and sewerage networks under pressure.• ISO 11298, Plastics piping systems for renovation of underground water supply networks (this Standard).• ISO 11299, Plastics piping systems for renovation of underground gas supply networks.• NCh3911/1:2025, Sistemas de rehabilitación en materiales plásticos para redes subterráneas de suministro de agua - Parte 1: Generalidades.• ISO 75-2:2013, Plastics — Determination of temperature of deflection under load — Part 2: Plastics and ebonite.• ISO 178:2019, Plastics — Determination of flexural properties.• ISO 899-2:2003, Plastics — Determination of creep behaviour — Part 2: Flexural creep by three-point loading.• ISO 3126, Plastics piping systems — Plastics components — Determination of dimensions.• ISO 7432, Glass-reinforced thermosetting plastics (GRP) pipes and fittings — Test methods to prove the design of locked socket-and-spigot joints, including double-socket joints, with elastomeric seals.• ISO 7509, Plastics piping systems — Glass-reinforced thermosetting plastics (GRP) pipes — Determination of time to failure under sustained internal pressure.• ISO 7685:2019, Glass-reinforced thermosetting plastics (GRP) pipes — Determination of initial ring stiffness.• ISO 8513:2016, Plastics piping systems — Glass-reinforced thermosetting plastics (GRP) pipes — Test methods for the determination of the initial longitudinal tensile strength.• ISO 8521:2020, Glass-reinforced thermosetting plastic (GRP) pipes — Test methods for the determination of the initial circumferential tensile wall strength.• ISO 8533, Glass-reinforced thermosetting plastics (GRP) pipes and fittings — Test methods to prove the design of cemented or wrapped joints.• ISO 10468, Glass-reinforced thermosetting plastics (GRP) pipes — Determination of the ring creep properties under wet or dry conditions.• ISO 10639:2017, Plastics piping systems for pressure and non-pressure water supply — Glass-reinforced thermosetting plastics (GRP) systems based on unsaturated polyester (UP) resin.• ISO 10928:2016, Plastics piping systems — Glass-reinforced thermosetting plastics (GRP) pipes and fittings — Methods for regression analysis and their use.• ISO 11295:2017, Classification and information on design and applications of plastics piping systems used for renovation and replacement.• ISO 13002, Carbon fibre — Designation system for filament yarns.G/TBT/N/CHL/785- 3 - • ISO 14125:1998, Fibre-reinforced plastic composites — Determination of flexural properties.</t>
  </si>
  <si>
    <t>The proposed maximum residue limits (MRLs) for Etofenprox notified in G/SPS/N/JPN/1356 (dated 17 July 2025) were adopted and published on 7 October 2025.The specified MRLs are available as below:</t>
  </si>
  <si>
    <t>Meat and edible meat offal (HS codes: 02.01, 02.02, 02.03, 02.04, 02.05, 02.06, 02.07, 02.08 and 02.09)Aquatic animals and crustaceans, molluscs and other aquatic invertebrates (HS codes: 03.02, 03.03, 03.04, 03.06, 03.07 and 03.08)Dairy produce, birds' eggs and natural honey (HS codes: 04.01, 04.07, 04.08 and 04.09)Animal originated products (HS code: 05.04)Edible vegetables and certain roots and tubers (HS codes: 07.01, 07.02, 07.03, 07.04, 07.05, 07.06, 07.07, 07.08, 07.09, 07.10, 07.13 and 07.14)Edible fruit and nuts, peel of citrus fruit (HS codes: 08.02, 08.04, 08.05, 08.06, 08.07, 08.08, 08.09, 08.10, 08.11 and 08.14)Tea, mate and spices (HS codes: 09.02, 09.03, 09.04, 09.05, 09.06, 09.07, 09.08, 09.09 and 09.10)Cereals (HS codes: 10.01, 10.02, 10.03, 10.04, 10.05, 10.06, 10.07 and 10.08)Oil seeds and oleaginous fruits, miscellaneous grains, seeds and fruit (HS codes: 12.01, 12.02, 12.05, 12.07 and 12.12)Animal fats and oils (HS codes: 15.01, 15.02 and 15.06)</t>
  </si>
  <si>
    <t>1506 - Other animal fats and oils and their fractions, whether or not refined, but not chemically modified.; 1501 - Pig fat, incl. lard, and poultry fat, rendered or otherwise extracted (excl. lard stearin and lard oil);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0710 - Vegetables, uncooked or cooked by steaming or boiling in water, frozen; 0713 - Dried leguminous vegetables, shelled, whether or not skinned or split; 0714 - Roots and tubers of manioc, arrowroot, salep, Jerusalem artichokes, sweet potatoes and similar roots and tubers with high starch or inulin content, fresh, chilled, frozen or dried, whether or not sliced or in the form of pellets; sago pith; 0802 - Other nuts, fresh or dried, whether or not shelled or peeled (excl. coconuts, Brazil nuts and cashew nuts); 0804 - Dates, figs, pineapples, avocados, guavas, mangoes and mangosteens, fresh or dried; 0805 - Citrus fruit, fresh or dried; 0806 - Grapes, fresh or dried; 0807 - Melons, incl. watermelons, and papaws "papayas", fresh; 0808 - Apples, pears and quinces, fresh; 0809 - Apricots, cherries, peaches incl. nectarines, plums and sloes, fresh;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0811 - Fruit and nuts, uncooked or cooked by steaming or boiling in water, frozen, whether or not containing added sugar or other sweetening matter; 0814 - Peel of citrus fruit or melons (including watermelons), fresh, frozen, dried or provisionally preserved in brine, in sulphur water or in other preservative solutions.; 0902 - Tea, whether or not flavoured; 0903 - Maté.; 0904 - Pepper of the genus Piper; dried or crushed or ground fruits of the genus Capsicum or of the genus Pimenta; 0905 - Vanilla; 0906 - Cinnamon and cinnamon-tree flowers; 0907 - Cloves, whole fruit, cloves and stems; 0908 - Nutmeg, mace and cardamoms; 0909 - Seeds of anis, badian, fennel, coriander, cumin or caraway; juniper berries;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1001 - Wheat and meslin; 1002 - Rye; 1003 - Barley; 1004 - Oats; 1005 - Maize or corn; 1006 - Rice; 0708 - Leguminous vegetables, shelled or unshelled, fresh or chilled; 0707 - Cucumbers and gherkins, fresh or chilled.; 0706 - Carrots, turnips, salad beetroot, salsify, celeriac, radishes and similar edible roots, fresh or chilled; 0705 - Lettuce "Lactuca sativa" and chicory "Cichorium spp.", fresh or chilled;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1207 - Other oil seeds and oleaginous fruits, whether or not broken (excl. edible nuts, olives, soya beans, groundnuts, copra, linseed, rape or colza seeds and sunflower seeds); 1205 - Rape or colza seeds, whether or not broken; 1202 - Groundnuts, whether or not shelled or broken (excl. roasted or otherwise cooked); 1201 - Soya beans, whether or not broken; 1008 - Buckwheat, millet, canary seed and other cereals (excl. wheat and meslin, rye, barley, oats, maize, rice and grain sorghum); 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1502 - Fats of bovine animals, sheep or goats (excl. oil and oleostearin); 0209 - Pig fat, free of lean meat, and poultry fat, not rendered or otherwise extracted, fresh, chilled, frozen, salted, in brine, dried or smoked; 0303 - Frozen fish (excl. fish fillets and other fish meat of heading 0304); 0304 - Fish fillets and other fish meat, whether or not minced, fresh, chilled or frozen; 0306 - Crustaceans, whether in shell or not, live, fresh, chilled, frozen, dried, salted or in brine, even smoked, incl. crustaceans in shell cooked by steaming or by boiling in water; 0307 - Molluscs, fit for human consumption, even smoked, whether in shell or not, live, fresh, chilled, frozen, dried, salted or in brine; 0308 - Aquatic invertebrates other than crustaceans and molluscs, live, fresh, chilled, frozen, dried, salted or in brine, even smoked; 0401 - Milk and cream, not concentrated nor containing added sugar or other sweetening matter; 0407 - Birds' eggs, in shell, fresh, preserved or cooked; 0408 - Birds' eggs, not in shell, and egg yolks, fresh, dried, cooked by steaming or by boiling in water, moulded, frozen or otherwise preserved, whether or not containing added sugar or other sweetening matter; 0409 - Natural honey.; 0504 - Guts, bladders and stomachs of animals (other than fish), whole and pieces thereof, fresh, chilled, frozen, salted, in brine, dried or smoked.; 0701 - Potatoes, fresh or chilled; 0702 - Tomatoes, fresh or chilled.; 0703 - Onions, shallots, garlic, leeks and other alliaceous vegetables, fresh or chilled; 0704 - Cabbages, cauliflowers, kohlrabi, kale and similar edible brassicas, fresh or chilled; 0302 - Fish, fresh or chilled (excl. fish fillets and other fish meat of heading 0304); 1007 - Grain sorghum; 1506 - Other animal fats and oils and their fractions, whether or not refined, but not chemically modified.; 0807 - Melons, incl. watermelons, and papaws "papayas", fresh; 1502 - Fats of bovine animals, sheep or goats (excl. oil and oleostearin); 1501 - Pig fat, incl. lard, and poultry fat, rendered or otherwise extracted (excl. lard stearin and lard oil);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1207 - Other oil seeds and oleaginous fruits, whether or not broken (excl. edible nuts, olives, soya beans, groundnuts, copra, linseed, rape or colza seeds and sunflower seeds); 1205 - Rape or colza seeds, whether or not broken; 1202 - Groundnuts, whether or not shelled or broken (excl. roasted or otherwise cooked); 1201 - Soya beans, whether or not broken; 1008 - Buckwheat, millet, canary seed and other cereals (excl. wheat and meslin, rye, barley, oats, maize, rice and grain sorghum); 1007 - Grain sorghum; 1006 - Rice; 1005 - Maize or corn; 1004 - Oats; 1003 - Barley; 0806 - Grapes, fresh or dried; 1002 - Rye;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0909 - Seeds of anis, badian, fennel, coriander, cumin or caraway; juniper berries; 0908 - Nutmeg, mace and cardamoms; 0907 - Cloves, whole fruit, cloves and stems; 0906 - Cinnamon and cinnamon-tree flowers; 0905 - Vanilla; 0904 - Pepper of the genus Piper; dried or crushed or ground fruits of the genus Capsicum or of the genus Pimenta; 0903 - Maté.; 0902 - Tea, whether or not flavoured; 0814 - Peel of citrus fruit or melons (including watermelons), fresh, frozen, dried or provisionally preserved in brine, in sulphur water or in other preservative solutions.; 0811 - Fruit and nuts, uncooked or cooked by steaming or boiling in water, frozen, whether or not containing added sugar or other sweetening matter;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0809 - Apricots, cherries, peaches incl. nectarines, plums and sloes, fresh; 0808 - Apples, pears and quinces, fresh; 1001 - Wheat and meslin; 0203 - Meat of swine, fresh, chilled or frozen; 0805 - Citrus fruit, fresh or dried; 0204 - Meat of sheep or goats, fresh, chilled or frozen; 0409 - Natural honey.; 0802 - Other nuts, fresh or dried, whether or not shelled or peeled (excl. coconuts, Brazil nuts and cashew nuts); 0714 - Roots and tubers of manioc, arrowroot, salep, Jerusalem artichokes, sweet potatoes and similar roots and tubers with high starch or inulin content, fresh, chilled, frozen or dried, whether or not sliced or in the form of pellets; sago pith; 0713 - Dried leguminous vegetables, shelled, whether or not skinned or split; 0710 - Vegetables, uncooked or cooked by steaming or boiling in water, frozen;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0708 - Leguminous vegetables, shelled or unshelled, fresh or chilled; 0707 - Cucumbers and gherkins, fresh or chilled.; 0706 - Carrots, turnips, salad beetroot, salsify, celeriac, radishes and similar edible roots, fresh or chilled; 0705 - Lettuce "Lactuca sativa" and chicory "Cichorium spp.", fresh or chilled; 0704 - Cabbages, cauliflowers, kohlrabi, kale and similar edible brassicas, fresh or chilled; 0703 - Onions, shallots, garlic, leeks and other alliaceous vegetables, fresh or chilled; 0702 - Tomatoes, fresh or chilled.; 0701 - Potatoes, fresh or chilled; 0804 - Dates, figs, pineapples, avocados, guavas, mangoes and mangosteens, fresh or dried; 0504 - Guts, bladders and stomachs of animals (other than fish), whole and pieces thereof, fresh, chilled, frozen, salted, in brine, dried or smoked.; 0202 - Meat of bovine animals, frozen; 0407 - Birds' eggs, in shell, fresh, preserved or cooked; 0401 - Milk and cream, not concentrated nor containing added sugar or other sweetening matter; 0308 - Aquatic invertebrates other than crustaceans and molluscs, live, fresh, chilled, frozen, dried, salted or in brine, even smoked; 0307 - Molluscs, fit for human consumption, even smoked, whether in shell or not, live, fresh, chilled, frozen, dried, salted or in brine; 0306 - Crustaceans, whether in shell or not, live, fresh, chilled, frozen, dried, salted or in brine, even smoked, incl. crustaceans in shell cooked by steaming or by boiling in water; 0304 - Fish fillets and other fish meat, whether or not minced, fresh, chilled or frozen; 0303 - Frozen fish (excl. fish fillets and other fish meat of heading 0304); 0302 - Fish, fresh or chilled (excl. fish fillets and other fish meat of heading 0304); 0209 - Pig fat, free of lean meat, and poultry fat, not rendered or otherwise extracted, fresh, chilled, frozen, salted, in brine, dried or smoked; 0208 - Meat and edible offal of rabbits, hares, pigeons and other animals, fresh, chilled or frozen (excl. of bovine animals, swine, sheep, goats, horses, asses, mules, hinnies, poultry "fowls of the species Gallus domesticus", ducks, geese, turkeys and guinea fowls); 0207 - Meat and edible offal of fowls of the species Gallus domesticus, ducks, geese, turkeys and guinea fowls, fresh, chilled or frozen; 0206 - Edible offal of bovine animals, swine, sheep, goats, horses, asses, mules or hinnies, fresh, chilled or frozen; 0205 - Meat of horses, asses, mules or hinnies, fresh, chilled or frozen.; 0408 - Birds' eggs, not in shell, and egg yolks, fresh, dried, cooked by steaming or by boiling in water, moulded, frozen or otherwise preserved, whether or not containing added sugar or other sweetening matter; 0201 - Meat of bovine animals, fresh or chilled</t>
  </si>
  <si>
    <t>Maximum residue limits (MRLs); Human health; Food safety; Adoption/publication/entry into force of reg.; Maximum residue limits (MRLs); Human health; Food safety</t>
  </si>
  <si>
    <r>
      <rPr>
        <sz val="11"/>
        <rFont val="Calibri"/>
      </rPr>
      <t>https://members.wto.org/crnattachments/2026/SPS/JPN/26_00650_00_e.pdf</t>
    </r>
  </si>
  <si>
    <t>Resolución No. 00000578 del 27 de enero de 2026 del ICA "Por medio de la cual se suspende temporalmente la emisión de documentos zoosanitarios de importación (DZI) para aves vivas, material genético, productos y subproductos de riesgo susceptibles de transmitir la enfermedad de Newcastle, procedentes del Reino de España y se dictan otras disposiciones" (ICA Resolution No. 00000578, of 27 January 2026, temporarily suspending the issuance of animal health import documents (DZI) for live birds, genetic material, products and by-products at risk of transmitting Newcastle disease, coming from the Kingdom of Spain, and enacting other provisions)</t>
  </si>
  <si>
    <t>The notified Resolution temporarily suspends the issuance of animal health import documents for live birds, genetic material, products and by-products at risk of transmitting Newcastle disease, coming from the Kingdom of Spain, and denies entry into the country for live birds, genetic material, or those products and by-products of avian origin coming from the Kingdom of Spain, covered by animal health import documents issued by the ICA prior to the entry into force of this Resolution, which do not comply with the provisions of Chapter 10.9 of the Terrestrial Animal Health Code of the World Organisation for Animal Health (WOAH).</t>
  </si>
  <si>
    <t>Live birds, genetic material, products and by-products at risk of transmitting Newcastle disease</t>
  </si>
  <si>
    <t>Pests; Newcastle Disease; Animal health; Animal diseases</t>
  </si>
  <si>
    <r>
      <rPr>
        <sz val="11"/>
        <rFont val="Calibri"/>
      </rPr>
      <t>https://members.wto.org/crnattachments/2026/SPS/COL/26_00662_00_s.pdf
https://www.ica.gov.co/getattachment/bc6bf802-91b3-4053-81bd-f7d3d6201c0e/2026R00000578.aspx</t>
    </r>
  </si>
  <si>
    <t>Proposed Maximum Residue Limit: Isocycloseram (PMRL2026-03)</t>
  </si>
  <si>
    <t>The objective of the notified document PMRL2026-03 is to consult on the listed maximum residue limits (MRLs) for isocycloseramthat have been proposed by Health Canada’s Pest Management Regulatory Agency (PMRA).MRL (ppm)1 Raw Agricultural Commodity (RAC) and/or Processed Commodity10               Leafy vegetables (crop group 4-13), except head lettuce 4.0              Brassica head and stem vegetable group (crop group 5-13) 2.0              Dried tomatoes 1.5              Dried prune plums 1.0              Stone fruits (crop group 12-09) 0.6              Fruiting vegetables (crop group 8-09) 0.5              Almond oil0.4              Pome fruits (crop group 11-09) 0.2              Tree nuts (crop group 14-11) 0.15            Cucurbit vegetables (crop group 9); dry soybeans 0.01          Tuberous and corm vegetables (crop subgroup 1C); dry lentils, head lettuce, peanuts  1 ppm = parts per millionThe commodities included in the listed crop groups/subgroups can be found on the Residue Chemistry Crop Groups webpage (https://www.canada.ca/en/health-canada/services/consumer-product-safety/pesticides-pest-management/public/protecting-your-health-environment/pesticides-food/residue-chemistry-crop-groups.html) in the Pesticides section of the Canada.ca website.</t>
  </si>
  <si>
    <t>Pesticide isocycloseram in or on various commodities (ICS codes: 65.020, 65.100, 67.040, 67.060, 67.080, 67.200)</t>
  </si>
  <si>
    <t>65.020 - Farming and forestry; 65.100 - Pesticides and other agrochemicals; 67.040 - Food products in general; 67.060 - Cereals, pulses and derived products; 67.080 - Fruits. Vegetables; 67.200 - Edible oils and fats. Oilseeds</t>
  </si>
  <si>
    <t>Table 2 of the PMRL document compares the MRLs proposed for isocycloseram in Canada with corresponding Codex MRLs.</t>
  </si>
  <si>
    <t>Proyecto de Resolución para regular la importación de tallos frescos de Ruscus (Ruscus aculeatus) originarios de Ecuador (Draft Resolution governing the importation of fresh stems of Ruscus (Ruscus aculeatus) originating in Ecuador)</t>
  </si>
  <si>
    <t>The notified draft Resolution establishes the phytosanitary measures for the importation of fresh stems of Ruscus (Ruscus aculeatus) originating in Ecuador.</t>
  </si>
  <si>
    <t>Fresh stems of Ruscus (Ruscus aculeatus)</t>
  </si>
  <si>
    <r>
      <rPr>
        <sz val="11"/>
        <rFont val="Calibri"/>
      </rPr>
      <t>https://members.wto.org/crnattachments/2026/SPS/CRI/26_00634_00_s.pdf</t>
    </r>
  </si>
  <si>
    <t>NCh 3911/1 :2025 Sistemas de rehabilitación mediante materiales plásticos para redes subterráneas de conducción de agua — Parte 1: Generalidades</t>
  </si>
  <si>
    <t>The notified Standard specifies the requirements and test methods for plastics piping systems used for renovation of underground raw water and potable water supply networks. It is applicable to pipes and fittings, as manufactured, as well as to the installed lining systems.It is not applicable to the existing, non-renovated pipeline or any non-structural sprayed coatings or annular filler.</t>
  </si>
  <si>
    <t>- ISO 11296, Plastics piping systems for renovation of underground non-pressure drainage and sewerage networks.- ISO 11297, Plastics piping systems for renovation of underground drainage and sewerage networks under pressure.G/TBT/N/CHL/784- 2 - - ISO 11298, Plastics piping systems for renovation of underground water supply networks (this Standard).- ISO 11299, Plastics piping systems for renovation of underground gas supply networks.- ISO 4633, Rubber seals — Joint rings for water supply, drainage and sewerage pipelines — Specification for materials.</t>
  </si>
  <si>
    <t>Various changes to the regulations under the Motor Vehicle Safety Act (2026)8 English documents totaling 151 pages (available in English and French)Consultation (4 pages)Background (5 pages)TSD 101 (19 pages)TSD 105 (40 pages)TSD 110 (21 pages)TSD 120 (11 pages)TSD 131 (11 pages)TSD 135 (40 pages)In addition, 1 additional document (DNT 222, 31 pages) is available in French only. </t>
  </si>
  <si>
    <t>Transport Canada is considering updating the Motor Vehicle Safety Regulations, the Motor Vehicle Tire Safety Regulations and the Motor Vehicle Restraint Systems and Booster Seat Safety Regulations to:Clarify that the prescribed text is required in both English and French when a Notice is sent to current owners or prescribed persons (unless the person’s official language of choice is known)Amend to clarify that in the case that the Minister determines that the non-compliances is inconsequential to safety, a company is not required to post the information onlineUpdate the requirements in Canada Motor Vehicle Safety Standard (CMVSS) 101 to reflect the prevalent use of digital speedometers in vehiclesClarify the code marking requirements in CMVSS 205Move the Table in CMVSS 101 into Technical Standards Documents (TSD) 101Clarify the bilingual language requirements throughout the MVSR and various TSDs</t>
  </si>
  <si>
    <t>Motor vehicle: (ICS: 43.020, 43.080)</t>
  </si>
  <si>
    <t>Transport Canada is considering these changes to the Motor Vehicle Safety Regulations, the Motor Vehicle Tire Safety Regulations and the Motor Vehicle Restraint Systems and Booster Seat Safety Regulations to:Provide the English and French required text when it’s prescribedClarify the intent of the requirementsUpdate the requirements to align with the technology currently in useClarify the process to obtain an approved code markMove a table back into the TSD now that the regulations permit it  </t>
  </si>
  <si>
    <t>On the date of publication in the Canada Gazette, Part II.</t>
  </si>
  <si>
    <t>These Regulations would come into force on the day on which they are published in the Canada Gazette, Part II with a transitional provision for some requirements.</t>
  </si>
  <si>
    <r>
      <rPr>
        <sz val="11"/>
        <rFont val="Calibri"/>
      </rPr>
      <t>https://tc.canada.ca/en/corporate-services/consultations/various-changes-regulations-under-motor-vehicle-safety-act-mvsa-2026</t>
    </r>
  </si>
  <si>
    <t>Transport Canada website: (link to consultation and all relevant documents) https://tc.canada.ca/en/corporate-services/consultations/various-changes-regulations-under-motor-vehicle-safety-act-mvsa-2026, (available in English and French).</t>
  </si>
  <si>
    <t xml:space="preserve">The Saudi Food and Drug Authority (SFDA) issued the Notice of Administration Order of Saudi Food and Drug Authority Ref. No. 24733 dated 1 December 2025 entitled “Temporary ban on importation of poultry meat, eggs and their products originating from Deux-Sèvres, Ain and Maine-et-Loire in France”. The Saudi Food and Drug Authority (SFDA) has subsequently issued the Notice Administrative Order No. 33704 dated 29 January 2026, lifting the temporary ban on the importation of poultry meat, eggs and their products originating from Ain in France, based on the WOAH report dated 16 January 2026, indicating that Ain in France is free of Highly Pathogenic Avian Influenza Virus (HPAI)._x000D_
</t>
  </si>
  <si>
    <t>Withdrawal of the measure; Pest- or Disease- free Regions / Regionalization; Human health; Food safety; Avian Influenza; Animal health; Animal diseases; Pest- or Disease- free Regions / Regionalization; Animal diseases; Food safety; Animal health; Human health; Avian Influenza</t>
  </si>
  <si>
    <r>
      <rPr>
        <sz val="11"/>
        <rFont val="Calibri"/>
      </rPr>
      <t>https://members.wto.org/crnattachments/2026/SPS/SAU/26_00654_00_x.pdf</t>
    </r>
  </si>
  <si>
    <t>Law of Ukraine No. 4718 "On Amendments to Certain Laws of Ukraine Aimed at Aligning Regulation in the Fields of Veterinary Medicine, Animal Welfare and Feed with European Union Legislation"</t>
  </si>
  <si>
    <t>The Law introduces amendments to certain legislative acts of Ukraine aimed at aligning national regulation in the fields of veterinary medicine, animal welfare and veterinary drugs with the legal acts of the European Union._x000D_
The Law establishes updated regulatory and technical requirements concerning:_x000D_
- the production, registration, circulation and use of veterinary drugs, including the introduction of modern regulatory approaches and digital tools for registration and pharmacovigilance;_x000D_
- the licensing of economic activities related to veterinary practice, as well as the manufacture, wholesale distribution and retail sale of veterinary drugs, aligned with EU and national licensing legislation;_x000D_
- the enhancement of regulatory oversight and control mechanisms applicable to veterinary drugs and related economic activities;_x000D_
- the regulation of feed and feed additives insofar as they relate to placing on the market and use in animal husbandry._x000D_
The measures aim to eliminate inconsistencies between Ukrainian legislation and the EU acquis, establish a coherent and transparent regulatory framework and facilitate market access by aligning technical and administrative requirements with European standards.</t>
  </si>
  <si>
    <t>Protection of animal or plant life or health (TBT); Harmonization (TBT)</t>
  </si>
  <si>
    <r>
      <rPr>
        <sz val="11"/>
        <rFont val="Calibri"/>
      </rPr>
      <t>https://members.wto.org/crnattachments/2026/TBT/UKR/26_00623_00_x.pdf</t>
    </r>
  </si>
  <si>
    <t>Laws of Ukraine "On beekeeping"; “On advertising”; “On feed safety and hygiene”; “On the protection of animals from cruel treatment”;  “On wildlife”;  “On veterinary medicine and animal welfare”; “On veterinary medicine”; “On basic principles and requirements for food safety and quality”; “On licensing of economic activities types”;  “On animal by-products not intended for human consumption”; “On state control over compliance with legislation on food products, feed, animal by-products, animal health and welfare”; “On state regulation of genetic engineering activities and state control over the placing on the market of genetically modified organisms and products”</t>
  </si>
  <si>
    <t>Resolución 122-2026-IPSA, Establecimiento de Requisitos Fitosanitarios para la Importación de semilla de mango (Mangifera indica) origen India (Resolution No. 122-2026-IPSA, establishing phytosanitary requirements for the importation of mango (Mangifera indica) seeds, originating in India)</t>
  </si>
  <si>
    <t>The notified Resolution establishes the phytosanitary requirements for the importation of mango seeds from India.1. The shipment must be accompanied by an official phytosanitary certificate, stating in the additional declaration that the seeds have been inspected by the national plant protection organization (NPPO) of the country of origin and found free of: Sternochetus mangiferae, Cryptorhynchus frigidus;2. The shipment must be free of soil and any foreign material or contaminants;3. The contents must be presented in new, first-use packaging, completely free of foreign material or contaminants;4.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</si>
  <si>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Mango (Mangifera indica) seeds</t>
  </si>
  <si>
    <r>
      <rPr>
        <sz val="11"/>
        <rFont val="Calibri"/>
      </rPr>
      <t>https://members.wto.org/crnattachments/2026/SPS/NIC/26_00625_00_s.pdf</t>
    </r>
  </si>
  <si>
    <t>The proposed maximum residue limits (MRLs) for Spinetoram notified in G/SPS/N/JPN/1357 (dated 17 July 2025) were adopted and published on 7 October 2025.The specified MRLs are available as below:</t>
  </si>
  <si>
    <t>Meat and edible meat offal (HS codes: 02.01, 02.02, 02.03, 02.04, 02.05, 02.06, 02.07, 02.08 and 02.09)Dairy produce, birds' eggs and natural honey (HS codes: 04.01, 04.07, 04.08 and 04.09)Animal originated products (HS code: 05.04)Edible vegetables and certain roots and tubers (HS codes: 07.01, 07.02, 07.03, 07.04, 07.05, 07.06, 07.07, 07.08, 07.09, 07.10, 07.13 and 07.14)Edible fruit and nuts, peel of citrus fruit (HS codes: 08.01, 08.02, 08.03, 08.04, 08.05, 08.06, 08.07, 08.08, 08.09, 08.10, 08.11 and 08.14)Tea, mate and spices (HS codes: 09.02, 09.03, 09.04, 09.05, 09.06, 09.07, 09.08, 09.09 and 09.10)Cereals (HS codes: 10.05 and 10.06)Oil seeds and oleaginous fruits, miscellaneous grains, seeds and fruit (HS codes: 12.01, 12.07 and 12.12)Animal fats and oils (HS codes: 15.01, 15.02 and 15.06)</t>
  </si>
  <si>
    <t>0201 - Meat of bovine animals, fresh or chilled; 0203 - Meat of swine, fresh, chilled or frozen; 0806 - Grapes, fresh or dried; 0807 - Melons, incl. watermelons, and papaws "papayas", fresh; 0808 - Apples, pears and quinces, fresh; 0809 - Apricots, cherries, peaches incl. nectarines, plums and sloes, fresh;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0811 - Fruit and nuts, uncooked or cooked by steaming or boiling in water, frozen, whether or not containing added sugar or other sweetening matter; 0814 - Peel of citrus fruit or melons (including watermelons), fresh, frozen, dried or provisionally preserved in brine, in sulphur water or in other preservative solutions.; 0902 - Tea, whether or not flavoured; 0903 - Maté.; 0904 - Pepper of the genus Piper; dried or crushed or ground fruits of the genus Capsicum or of the genus Pimenta; 0905 - Vanilla; 0906 - Cinnamon and cinnamon-tree flowers; 0907 - Cloves, whole fruit, cloves and stems; 0908 - Nutmeg, mace and cardamoms; 0909 - Seeds of anis, badian, fennel, coriander, cumin or caraway; juniper berries;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1005 - Maize or corn; 1006 - Rice; 1201 - Soya beans, whether or not broken; 1207 - Other oil seeds and oleaginous fruits, whether or not broken (excl. edible nuts, olives, soya beans, groundnuts, copra, linseed, rape or colza seeds and sunflower seeds);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1501 - Pig fat, incl. lard, and poultry fat, rendered or otherwise extracted (excl. lard stearin and lard oil); 1502 - Fats of bovine animals, sheep or goats (excl. oil and oleostearin); 0805 - Citrus fruit, fresh or dried; 0202 - Meat of bovine animals, frozen; 0804 - Dates, figs, pineapples, avocados, guavas, mangoes and mangosteens, fresh or dried; 0802 - Other nuts, fresh or dried, whether or not shelled or peeled (excl. coconuts, Brazil nuts and cashew nuts);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0401 - Milk and cream, not concentrated nor containing added sugar or other sweetening matter; 0407 - Birds' eggs, in shell, fresh, preserved or cooked; 0408 - Birds' eggs, not in shell, and egg yolks, fresh, dried, cooked by steaming or by boiling in water, moulded, frozen or otherwise preserved, whether or not containing added sugar or other sweetening matter; 0409 - Natural honey.; 0504 - Guts, bladders and stomachs of animals (other than fish), whole and pieces thereof, fresh, chilled, frozen, salted, in brine, dried or smoked.; 0701 - Potatoes, fresh or chilled; 0702 - Tomatoes, fresh or chilled.; 0703 - Onions, shallots, garlic, leeks and other alliaceous vegetables, fresh or chilled; 0704 - Cabbages, cauliflowers, kohlrabi, kale and similar edible brassicas, fresh or chilled; 0705 - Lettuce "Lactuca sativa" and chicory "Cichorium spp.", fresh or chilled; 0706 - Carrots, turnips, salad beetroot, salsify, celeriac, radishes and similar edible roots, fresh or chilled; 0707 - Cucumbers and gherkins, fresh or chilled.; 0708 - Leguminous vegetables, shelled or unshelled, fresh or chilled;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0710 - Vegetables, uncooked or cooked by steaming or boiling in water, frozen; 0713 - Dried leguminous vegetables, shelled, whether or not skinned or split; 0801 - Coconuts, Brazil nuts and cashew nuts, fresh or dried, whether or not shelled or peeled; 0803 - Bananas, incl. plantains, fresh or dried; 1506 - Other animal fats and oils and their fractions, whether or not refined, but not chemically modified.; 1506 - Other animal fats and oils and their fractions, whether or not refined, but not chemically modified.; 0805 - Citrus fruit, fresh or dried; 1502 - Fats of bovine animals, sheep or goats (excl. oil and oleostearin); 1501 - Pig fat, incl. lard, and poultry fat, rendered or otherwise extracted (excl. lard stearin and lard oil);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1207 - Other oil seeds and oleaginous fruits, whether or not broken (excl. edible nuts, olives, soya beans, groundnuts, copra, linseed, rape or colza seeds and sunflower seeds); 1201 - Soya beans, whether or not broken; 1006 - Rice; 1005 - Maize or corn;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0909 - Seeds of anis, badian, fennel, coriander, cumin or caraway; juniper berries; 0908 - Nutmeg, mace and cardamoms; 0804 - Dates, figs, pineapples, avocados, guavas, mangoes and mangosteens, fresh or dried; 0907 - Cloves, whole fruit, cloves and stems; 0905 - Vanilla; 0904 - Pepper of the genus Piper; dried or crushed or ground fruits of the genus Capsicum or of the genus Pimenta; 0903 - Maté.; 0902 - Tea, whether or not flavoured; 0814 - Peel of citrus fruit or melons (including watermelons), fresh, frozen, dried or provisionally preserved in brine, in sulphur water or in other preservative solutions.; 0811 - Fruit and nuts, uncooked or cooked by steaming or boiling in water, frozen, whether or not containing added sugar or other sweetening matter;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0809 - Apricots, cherries, peaches incl. nectarines, plums and sloes, fresh; 0808 - Apples, pears and quinces, fresh; 0807 - Melons, incl. watermelons, and papaws "papayas", fresh; 0806 - Grapes, fresh or dried; 0906 - Cinnamon and cinnamon-tree flowers; 0203 - Meat of swine, fresh, chilled or frozen; 0803 - Bananas, incl. plantains, fresh or dried; 0204 - Meat of sheep or goats, fresh, chilled or frozen; 0702 - Tomatoes, fresh or chilled.; 0801 - Coconuts, Brazil nuts and cashew nuts, fresh or dried, whether or not shelled or peeled; 0714 - Roots and tubers of manioc, arrowroot, salep, Jerusalem artichokes, sweet potatoes and similar roots and tubers with high starch or inulin content, fresh, chilled, frozen or dried, whether or not sliced or in the form of pellets; sago pith; 0713 - Dried leguminous vegetables, shelled, whether or not skinned or split; 0710 - Vegetables, uncooked or cooked by steaming or boiling in water, frozen;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0708 - Leguminous vegetables, shelled or unshelled, fresh or chilled; 0707 - Cucumbers and gherkins, fresh or chilled.; 0706 - Carrots, turnips, salad beetroot, salsify, celeriac, radishes and similar edible roots, fresh or chilled; 0705 - Lettuce "Lactuca sativa" and chicory "Cichorium spp.", fresh or chilled; 0704 - Cabbages, cauliflowers, kohlrabi, kale and similar edible brassicas, fresh or chilled; 0802 - Other nuts, fresh or dried, whether or not shelled or peeled (excl. coconuts, Brazil nuts and cashew nuts); 0703 - Onions, shallots, garlic, leeks and other alliaceous vegetables, fresh or chilled; 0202 - Meat of bovine animals, frozen; 0504 - Guts, bladders and stomachs of animals (other than fish), whole and pieces thereof, fresh, chilled, frozen, salted, in brine, dried or smoked.; 0409 - Natural honey.; 0408 - Birds' eggs, not in shell, and egg yolks, fresh, dried, cooked by steaming or by boiling in water, moulded, frozen or otherwise preserved, whether or not containing added sugar or other sweetening matter; 0407 - Birds' eggs, in shell, fresh, preserved or cooked; 0401 - Milk and cream, not concentrated nor containing added sugar or other sweetening matter; 0209 - Pig fat, free of lean meat, and poultry fat, not rendered or otherwise extracted, fresh, chilled, frozen, salted, in brine, dried or smoked; 0208 - Meat and edible offal of rabbits, hares, pigeons and other animals, fresh, chilled or frozen (excl. of bovine animals, swine, sheep, goats, horses, asses, mules, hinnies, poultry "fowls of the species Gallus domesticus", ducks, geese, turkeys and guinea fowls); 0207 - Meat and edible offal of fowls of the species Gallus domesticus, ducks, geese, turkeys and guinea fowls, fresh, chilled or frozen; 0206 - Edible offal of bovine animals, swine, sheep, goats, horses, asses, mules or hinnies, fresh, chilled or frozen; 0205 - Meat of horses, asses, mules or hinnies, fresh, chilled or frozen.; 0701 - Potatoes, fresh or chilled; 0201 - Meat of bovine animals, fresh or chilled</t>
  </si>
  <si>
    <t>Maximum residue limits (MRLs); Human health; Food safety; Adoption/publication/entry into force of reg.; Human health; Food safety; Maximum residue limits (MRLs)</t>
  </si>
  <si>
    <r>
      <rPr>
        <sz val="11"/>
        <rFont val="Calibri"/>
      </rPr>
      <t>https://members.wto.org/crnattachments/2026/SPS/JPN/26_00651_00_e.pdf</t>
    </r>
  </si>
  <si>
    <t>Notice of Administration Order of Saudi Food and Drug Authority Ref. No. 15995 dated 14 October 2025 entitled “Temporary ban on importation of poultry meat, eggs and their products originating from Southern Denmark in Denmark”</t>
  </si>
  <si>
    <t>The Saudi Food and Drug Authority (SFDA) issued the Notice of Administration Order of Saudi Food and Drug Authority Ref. No. 15995 dated 14 October 2025 entitled “Temporary ban on importation of poultry meat, eggs and their products originating from Southern Denmark in Denmark”. The Saudi Food and Drug Authority (SFDA) has subsequently issued the Notice Administrative Order No. 33705 dated 29 January 2026, lifting the temporary ban on the importation of poultry meat, eggs and their products originating from Southern Denmark in Denmark, based on the WOAH report dated 22 January 2026, indicating that Southern Denmark in Denmark is free of Highly Pathogenic Avian Influenza Virus (HPAI).</t>
  </si>
  <si>
    <t>0407 - Birds' eggs, in shell, fresh, preserved or cooked; 0207 - Meat and edible offal of fowls of the species Gallus domesticus, ducks, geese, turkeys and guinea fowls, fresh, chilled or frozen; 0207 - Meat and edible offal of fowls of the species Gallus domesticus, ducks, geese, turkeys and guinea fowls, fresh, chilled or frozen; 0407 - Birds' eggs, in shell, fresh, preserved or cooked</t>
  </si>
  <si>
    <t>Withdrawal of the measure; Pest- or Disease- free Regions / Regionalization; Human health; Food safety; Avian Influenza; Animal health; Animal diseases; Pest- or Disease- free Regions / Regionalization; Avian Influenza; Animal diseases; Food safety; Animal health; Human health</t>
  </si>
  <si>
    <r>
      <rPr>
        <sz val="11"/>
        <rFont val="Calibri"/>
      </rPr>
      <t>https://members.wto.org/crnattachments/2026/SPS/SAU/26_00655_00_x.pdf</t>
    </r>
  </si>
  <si>
    <t>Malawi</t>
  </si>
  <si>
    <t>DMS 639:2021 Vehicle Standards –Vehicle Number Plates – Aluminium</t>
  </si>
  <si>
    <t>This Draft Malawi Standard specifies the requirements for the materials, sizes and retro-reflectivity of aluminium number plates, including tests for reflective performance, longevity and durability. The type and size of number plates and characters to be embossed on number plates for countries using Latin alpha characters and Arabic numeral characters are also specified.</t>
  </si>
  <si>
    <t>ALUMINIUM AND ARTICLES THEREOF (HS code(s): 76); Passenger cars. Caravans and light trailers (ICS code(s): 43.100)</t>
  </si>
  <si>
    <t>76 - ALUMINIUM AND ARTICLES THEREOF</t>
  </si>
  <si>
    <t>43.100 - Passenger cars. Caravans and light trailers</t>
  </si>
  <si>
    <t>Consumer information, labelling (TBT); Prevention of deceptive practices and consumer protection (TBT); Quality requirements (TBT); Reducing trade barriers and facilitating trade (TBT)</t>
  </si>
  <si>
    <r>
      <rPr>
        <sz val="11"/>
        <rFont val="Calibri"/>
      </rPr>
      <t>https://members.wto.org/crnattachments/2026/TBT/MWI/26_00603_00_e.pdf</t>
    </r>
  </si>
  <si>
    <t>ASTM G 154, Standard practice for operating fluorescent light apparatus for UV exposure of non- metallic materials. CIE 15, Colorimetry. CIE 54.2, Retroreflection Definition and measurement. ISO 7591: Road vehicles – Retro reflective registration plates for motor vehicles and trailers</t>
  </si>
  <si>
    <t>Live Shrimp (including Broodstock and Postlarvae)</t>
  </si>
  <si>
    <t>Proyecto de Segunda Revisión del Reglamento Técnico Ecuatoriano PRTE INEN 072 (2R) “Eficiencia energética para acondicionadores de aire sin ductos”</t>
  </si>
  <si>
    <t>The notified Ecuadorian Technical Regulation establishes the requirements to be met by ductless air conditioners, with the aim of protecting the environment and preventing deceptive practices.The notified Ecuadorian Technical Regulation applies to the following products, whether domestic or imported, marketed in Ecuador:• Ductless split air conditioners with a cooling or heating capacity, or both, of up to 12,000 W (41,000 BTU/h approximately), using on-off or inverter technology.• Ductless package air conditioners with a cooling or heating capacity, or both, of up to 12,000 W (41,000 BTU/h approximately), using on-off or inverter technology.• Ductless split systems with a capacity of up to 12,000 W (41,000 BTU/h approximately) must be imported as a set.G/TBT/N/ECU/394/Rev.2- 2 - This notified Ecuadorian Technical Regulation does not apply to:• multi-split air conditioners;• mobile or portable systems;• non-electric ductless air conditioners;• ductless air conditioners in which the condenser or evaporator, or both, do not use air as a heat transfer medium.</t>
  </si>
  <si>
    <t>841582 - Air conditioning machines incorporating a refrigerating unit but without a valve for reversal of the cooling/heat cycle (excl. of a kind used for persons in motor vehicles, and self-contained or "split-system" window or wall air conditioning machines); 841510 - Window or wall air conditioning machines, self-contained or "split-system"</t>
  </si>
  <si>
    <r>
      <rPr>
        <sz val="11"/>
        <rFont val="Calibri"/>
      </rPr>
      <t>https://members.wto.org/crnattachments/2026/TBT/ECU/26_00596_00_s.pdf</t>
    </r>
  </si>
  <si>
    <t>• ISO 2859-1:1999+Amd 1:2011, Sampling procedures for inspection by attributes — Part 1: Sampling schemes indexed by acceptance quality limit (AQL) for lot-by-lot inspection.• ISO 5151:2018, Non-ducted air conditioners and heat pumps — Testing and rating for performance (ISO 5151:2017, IDT).• ISO/IEC 17025:2017, General requirements for the competence of testing and calibration laboratories.• ISO/IEC 17050-1:2004, Conformity assessment — Supplier's declaration of conformity — Part 1: General requirements.• ISO/IEC 17067:2013, Conformity assessment — Fundamentals of product certification and guidelines for product certification schemes.• IEC 60050, International Electrotechnical Vocabulary.• UNE-EN 14511-1:2023, Air conditioners, liquid chilling packages and heat pumps for space heating and cooling and process chillers, with electrically driven compressors — Part 1: Terms and definitions (EN 14511-1:2022).• UNE-EN 14511-2:2023, Air conditioners, liquid chilling packages and heat pumps for space heating and cooling and process chillers, with electrically driven compressors — Part 2: Test conditions (EN 14511-2:2022).• UNE-EN 14511-3:2023, Air conditioners, liquid chilling packages and heat pumps for space heating and cooling and process chillers, with electrically driven compressors — Part 3: Test methods (EN 14511-3:2022).• UNE-EN 14825:2023, Air conditioners, liquid chilling packages and heat pumps, with electrically driven compressors, for space heating and cooling, commercial and process cooling — Testing and rating at part load conditions and calculation of seasonal performance (EN 14825:2022).• COPANT Standard No. 1711:2020, Energy efficiency — Air conditioner specifications and labeling.• Commission Delegated Regulation (EU) No 626/2011 of 4 May 2011 supplementing Directive 2010/30/EU of the European Parliament and of the Council with regard to energy labelling of air conditioners.• Decision XIX/6: Adjustments to the Montreal Protocol with regard to Annex C, Group I, substances (hydrochlorofluorocarbons).Relevant notifications:• G/TBT/N/ECU/394• G/TBT/N/ECU/394/Rev.1• G/TBT/N/ECU/394/Rev.1/Add.1• G/TBT/N/ECU/87G/TBT/N/ECU/394/Rev.2- 3 - • G/TBT/N/ECU/87/Add.1• G/TBT/N/ECU/87/Add.2• G/TBT/N/ECU/87/Add.3• G/TBT/N/ECU/87/Add.4• G/TBT/N/ECU/87/Add.5• G/TBT/N/ECU/87/Rev.1</t>
  </si>
  <si>
    <t>Notice of Availability and Request for Comment: Revision to the 
Voluntary Standard for Infant and Cradle Swings</t>
  </si>
  <si>
    <t xml:space="preserve">The U.S. Consumer Product Safety Commission's (Commission or CPSC) mandatory rule, Safety Standard for Infant and Cradle Swings, incorporates by reference ASTM F2088-24, Standard Consumer Safety Specification for Infant and Cradle Swings. ASTM notified the Commission that it has revised this incorporated voluntary standard. CPSC seeks comment on whether the revision improves the safety of infant and cradle swings.Comments must be received by 12 February 2026.91 Federal Register (FR) 3845, 29 January 2026; Title 16 Code of Federal Regulations (CFR) Part 1223_x000D_
https://www.govinfo.gov/content/pkg/FR-2026-01-29/html/2026-01807.htm_x000D_
https://www.govinfo.gov/content/pkg/FR-2026-01-29/pdf/2026-01807.pdfThis action and previous actions notified under the symbol G/TBT/N/USA/681 are identified by Docket Number CPSC-2013-0025. The Docket Folder is available on Regulations.gov at https://www.regulations.gov/docket/CPSC-2013-0025/document and provides access to primary and supporting documents as well as comments received. Documents are also accessible from Regulations.gov by searching the Docket Number. WTO Members and their stakeholders are asked to submit comments to the USA TBT Enquiry Point. Comments received by the USA TBT Enquiry Point from WTO Members and their stakeholders by 4pmEastern Time on 12 February 2026 will be shared with  CPSC and will also be submitted to the Docket on Regulations.gov if received within the comment period._x000D_
</t>
  </si>
  <si>
    <t>Infant swings (ICS: 97.190)</t>
  </si>
  <si>
    <t>Protection of human life</t>
  </si>
  <si>
    <r>
      <rPr>
        <sz val="11"/>
        <rFont val="Calibri"/>
      </rPr>
      <t>https://members.wto.org/crnattachments/2026/TBT/USA/26_00597_00_e.pdf</t>
    </r>
  </si>
  <si>
    <t>Ley de Sanidad Vegetal y Animal, Decreto número 36-98 del Congreso de la República de Guatemala (Plant and Animal Health Law, Decree No. 36-98 of the Congress of the Republic of Guatemala) (Articles 6, 20 and 21); and Reglamento de la Ley de Sanidad Vegetal y Animal, Acuerdo Gubernativo número 745-99 (Regulations implementing the Plant and Animal Health Law, Government Decision No. 745-99) (Articles 12, 25, 26, 27 and 43)</t>
  </si>
  <si>
    <t>With a view to safeguarding Guatemala's sanitary status, imports of live animals, products and by-products of animal origin and genetic material of animal species susceptible to African swine fever from the countries listed in section 4 shall be suspended temporarily until those countries regain their African swine fever-free status as recognized by the World Organisation for Animal Health (WOAH).</t>
  </si>
  <si>
    <t>Live animals, products of animal origin and genetic material of animal species susceptible to African swine fever (HS codes: 0103.10.00.00, 0203.11.00.00, 0203.12.00.00, 0203.19.00.00, 0203.21.00.00, 0203.22.00.00, 0203.29.00.00, 0206.30.10.00, 0206.30.90.00, 0206.41.00.00, 0206.49.00.00, 0206.49.90.00, 0206.80.00.00, 0206.90.00.00, 0209.10.10.00, 0209.10.20.00, 0209.90.00.00, 0210.11.00.00, 0210.12.00.00)</t>
  </si>
  <si>
    <t>0203 - Meat of swine, fresh, chilled or frozen; 0206 - Edible offal of bovine animals, swine, sheep, goats, horses, asses, mules or hinnies, fresh, chilled or frozen; 0209 - Pig fat, free of lean meat, and poultry fat, not rendered or otherwise extracted, fresh, chilled, frozen, salted, in brine, dried or smoked; 0210 - Meat and edible offal, salted, in brine, dried or smoked; edible flours and meals of meat or meat offal</t>
  </si>
  <si>
    <t>Animal health; Animal diseases; African swine fever (ASF)</t>
  </si>
  <si>
    <t>Armenia; Austria; Azerbaijan; Belarus; Belgium; Benin; Bhutan; Bulgaria; Burkina Faso; Burundi; Cabo Verde; Cambodia; Cameroon; Central African Republic; Chad; China; Congo; Côte d'Ivoire; Croatia; Czech Republic; Dominican Republic; Estonia; Gambia; Georgia; Germany; Ghana; Greece; Guinea-Bissau; Haiti; Hong Kong, China; Hungary; India; Indonesia; Italy; Kenya; Korea, Republic of; Lao People's Democratic Republic; Latvia; Lithuania; Madagascar; Malawi; Malaysia; Moldova, Republic of; Mongolia; Mozambique; Myanmar; Namibia; Nigeria; North Korea; Papua New Guinea; Philippines; Poland; Romania; Russian Federation; Rwanda; Senegal; Serbia; Sierra Leone; Slovak Republic; South Africa; Spain; Tanzania; Timor-Leste; Togo; Uganda; Ukraine; Viet Nam; Zambia; Zimbabwe.</t>
  </si>
  <si>
    <r>
      <rPr>
        <sz val="11"/>
        <rFont val="Calibri"/>
      </rPr>
      <t>https://www.congreso.gob.gt/assets/uploads/info_legislativo/decretos/1998/gtdcx36-1998.pdf
https://www.bing.com/ck/a?!&amp;&amp;p=6eafc7183b0d8492384a6a2d8f66cd74a8f3c071a3b0bbdbf2506b5ae8ee6f93JmltdHM9MTc2ODE3NjAwMA&amp;ptn=3&amp;ver=2&amp;hsh=4&amp;fclid=2dc15d8b-f3c5-6581-13b3-4b5ef2cb649e&amp;psq=Reglamento+de+la+Ley+de+Sanidad+Vegetal+y+Animal%2c+Acuerdo+Gubernativo+n%c3%bamero+745-99&amp;u=a1aHR0cHM6Ly9hcHBzLm1hZ2EuZ29iLmd0L05vcm1hdGl2YXMvTm9ybWF0aXZhcy9Eb3dubG9hZC80NTQ</t>
    </r>
  </si>
  <si>
    <t>Proyecto de Modificación de la Norma Oficial Mexicana NOM-157-SEMARNAT-2009, Que establece los elementos y procedimientos para instrumentar planes de manejo de residuos mineros, para quedar como Proyecto de Norma Oficial Mexicana PROY-NOM-157-SEMARNAT-2025, Que establece los elementos y procedimientos para instrumentar planes de manejo de residuos mineros</t>
  </si>
  <si>
    <t>The notified draft Mexican Official Standard establishes the elements and procedures that must be considered when developing and implementing mining waste management plans, with the aim of promoting waste prevention and recovery, and encouraging comprehensive waste management through new processes, methods and technologies that are economically, technically and environmentally feasible. The notified draft text is binding on those who produce and possess mining waste.The draft text addresses the following aspects:G/TBT/N/MEX/557- 2 - (a) Updating the list of mining waste by removing waste that is not unique to mining processes and adding other waste specific to mining activities;(b) Introducing the option of a comprehensive study as part of the characterization of mining waste with the aim of generating detailed and accurate information to anticipate potential environmental impacts;(c) Introducing general criteria for integrated management activities;(d) Updating the Conformity Assessment Procedure.For these reasons, the specifications set out in the notified draft text aim to promote the development of mining waste management plans that lead to the implementation of practices that minimize waste generation and promote the recovery of such waste, where feasible.</t>
  </si>
  <si>
    <t>Es de observancia obligatoria para quienes generen y posean residuos mineros.</t>
  </si>
  <si>
    <t>13.030.30 - Special wastes</t>
  </si>
  <si>
    <r>
      <rPr>
        <sz val="11"/>
        <rFont val="Calibri"/>
      </rPr>
      <t>https://members.wto.org/crnattachments/2026/TBT/MEX/26_00602_00_s.pdf</t>
    </r>
  </si>
  <si>
    <t>The following existing Mexican Official Standards, or those replacing them, must be consulted in order to correctly implement the notified draft Mexican Official Standard:• Norma Oficial Mexicana NOM-141-SEMARNAT-2003, Que establece el procedimiento para caracterizar los jales, así como las especificaciones y criterios para la caracterización y preparación del sitio, proyecto, construcción, operación y postoperación de presas de jales. Published in the Official Journal on 13 September 2004.• Norma Oficial Mexicana NOM-147-SEMARNAT/SSA1-2004, Que establece criterios para determinar las concentraciones de remediación de suelos contaminados por arsénico, bario, berilio, cadmio, cromo hexavalente, mercurio, níquel, plata, plomo, selenio, talio y/o vanadio. Published in the Official Journal on 2 March 2007.• Norma Mexicana NMX-AA-025-1984, Protección al ambiente-Contaminación del suelo-Residuos sólidos-Determinación del pH-Método potenciométrico. Notice of entry into force published in the Official Journal on 14 December 1984.• Norma Oficial Mexicana NOM-021-SEMARNAT-2000, Que establece las especificaciones de fertilidad, salinidad y clasificación de suelos. Estudio, muestreo y análisis. Published in the Official Journal on 31 December 2002.</t>
  </si>
  <si>
    <t>Notice of Availability and Request for Comment: Revision to the 
Voluntary Standard for Portable Hook-On Chairs</t>
  </si>
  <si>
    <t>The U.S. Consumer Product Safety Commission's (Commission or CPSC) mandatory rule, Safety Standard for Portable Hook-On Chairs, incorporates by reference ASTM F1235-18, Standard Consumer Safety Specification for Portable Hook-On Chairs. ASTM notified the Commission that it has revised this incorporated voluntary standard. CPSC seeks comment on whether the revision improves the safety of portable hook-on chairs.Comments must be received by 12 February 2026.91 Federal Register (FR) 3846, 29 January 2026; Title 16 Code of Federal Regulations (CFR) Part 1233_x000D_
https://www.govinfo.gov/content/pkg/FR-2026-01-29/html/2026-01776.htm_x000D_
https://www.govinfo.gov/content/pkg/FR-2026-01-29/pdf/2026-01776.pdfThis notice of availability; request for comment and the direct final rule notified as G/TBT/N/USA/1008/Rev.1 are identified by Docket Number CPSC-2015-0016. The Docket Folder is available on Regulations.gov at https://www.regulations.gov/docket/CPSC-2015-0016/document and provides access to primary and supporting documents as well as comments received. Documents are also accessible from Regulations.gov by searching the Docket Number. WTO Members and their stakeholders are asked to submit comments to the USA TBT Enquiry Point. Comments received by the USA TBT Enquiry Point from WTO Members and their stakeholders by 4pmEastern Time on 12 February 2026 will be shared with CPSC and will also be submitted to the Docket on Regulations.gov if received within the comment period.</t>
  </si>
  <si>
    <t>Portable hook-on chairs</t>
  </si>
  <si>
    <r>
      <rPr>
        <sz val="11"/>
        <rFont val="Calibri"/>
      </rPr>
      <t>https://members.wto.org/crnattachments/2026/TBT/USA/26_00598_00_e.pdf</t>
    </r>
  </si>
  <si>
    <t>Aviso de consulta pública del Proyecto de Norma Oficial Mexicana PROY-NOM-003-SSA1-2025, Salud ambiental. Límite máximo permisible para el contenido de plomo total y requisitos sanitarios que deben satisfacer el etiquetado de pinturas y productos relacionados. </t>
  </si>
  <si>
    <t>The notified draft Mexican Official Standard establishes the maximum permissible limit for total lead content and the sanitary requirements for the labelling of containers for paints and related products. The notified text is binding on all natural and legal persons engaged in the processing, importation and marketing of paints and related products in Mexican territory.</t>
  </si>
  <si>
    <t>Personas físicas y morales que se dediquen al proceso, importación y comercialización de pinturas y productos relacionados.</t>
  </si>
  <si>
    <t>Maximum residue limits (MRLs); Human health</t>
  </si>
  <si>
    <r>
      <rPr>
        <sz val="11"/>
        <rFont val="Calibri"/>
      </rPr>
      <t>https://members.wto.org/crnattachments/2026/TBT/MEX/26_00601_00_s.pdf</t>
    </r>
  </si>
  <si>
    <t>The following existing Mexican Official Standards, or those replacing them, must be consulted in order to correctly implement the notified draft Mexican Official Standard:• Norma Oficial Mexicana NOM-030-SCFI-2006, Información comercial-Declaración de cantidad en la etiqueta-Especificaciones. Published in the Official Journal on 6 November 2006.• Norma Oficial Mexicana NOM-050-SCFI-2004, Información comercial-Etiquetado general de productos. Published in the Official Journal on 1 June 2004.• Norma Mexicana NMX-R-019-SCFI-2011, Sistema armonizado de clasificación y comunicación de peligros de los productos químicos. Notice of entry into force published on 3 June 2011.• ISO 1513:2010, Paints and varnishes — Examination and preparation of test samples.• ASTM E1979-12, Standard Practice for Ultrasonic Extraction of Paint, Dust, Soil, and Air Samples for Subsequent Determination of Lead.• ISO 6503:1984, Paints and varnishes — Determination of total lead — Flame atomic absorption spectrometric method.• ASTM D3335-85a(2020), Standard Test Method for Low Concentrations of Lead, Cadmium, and Cobalt in Paint by Atomic Absorption Spectroscopy.</t>
  </si>
  <si>
    <t>Protocol PE No. 1/02:2025 - Irons</t>
  </si>
  <si>
    <t>Provides responses to the comments received from the People's Republic of China __________1 This information can be provided by including a website address, a PDF attachment, or other information on where the text of the final/modified measure and/or interpretative guidance can be obtained.</t>
  </si>
  <si>
    <t>Irons</t>
  </si>
  <si>
    <t>8516 - Electric instantaneous or storage water heaters and immersion heaters; electric space-heating apparatus and soil-heating apparatus; electro-thermic hairdressing apparatus, e.g. hairdryers, hair curlers and curling tong heaters, and hand dryers; electric smoothing irons; other electro-thermic appliances of a kind used for domestic purposes; electric heating resistors (other than those of heading 8545); parts thereof; 8516 - Electric instantaneous or storage water heaters and immersion heaters; electric space-heating apparatus and soil-heating apparatus; electro-thermic hairdressing apparatus, e.g. hairdryers, hair curlers and curling tong heaters, and hand dryers; electric smoothing irons; other electro-thermic appliances of a kind used for domestic purposes; electric heating resistors (other than those of heading 8545); parts thereof</t>
  </si>
  <si>
    <t>97.060 - Laundry appliances; 97.060 - Laundry appliances</t>
  </si>
  <si>
    <r>
      <rPr>
        <sz val="11"/>
        <rFont val="Calibri"/>
      </rPr>
      <t>https://members.wto.org/crnattachments/2026/TBT/CHL/26_00595_00_e.pdf
https://members.wto.org/crnattachments/2026/TBT/CHL/26_00595_00_s.pdf</t>
    </r>
  </si>
  <si>
    <t>Proyecto de Norma Oficial Mexicana PROY-NOM-249-SSA1-2025, Mezclas estériles: nutricionales y medicamentosas, e instalaciones para su preparación. </t>
  </si>
  <si>
    <t>The notified draft Mexican Official Standard establishes the minimum requirements that must be met by mixture centres when preparing and distributing quality nutritional and medicinal sterile mixtures that are dispensed and administered to patients in accordance with a medical prescription.</t>
  </si>
  <si>
    <t>Aplica a todos los establecimientos en el territorio nacional dedicados a la preparación y dispensación de mezclas estériles: nutricionales y medicamentosas, por prescripción médica para dispensar y administrar mezclas de calidad a los pacientes.</t>
  </si>
  <si>
    <r>
      <rPr>
        <sz val="11"/>
        <rFont val="Calibri"/>
      </rPr>
      <t>https://members.wto.org/crnattachments/2026/TBT/MEX/26_00600_00_s.pdf</t>
    </r>
  </si>
  <si>
    <t>The following existing Mexican Official Standards, or those replacing them, must be consulted in order to correctly implement the notified draft Mexican Official Standard:• Norma Oficial Mexicana NOM-059-SSA1-2015, Buenas prácticas de fabricación de medicamentos.• Norma Oficial Mexicana NOM-241-SSA1-2025, Buenas prácticas de fabricación de dispositivos médicos.• Norma Oficial Mexicana NOM-052-SEMARNAT-2005, Que establece las características, el procedimiento de identificación, clasificación y los listados de los residuos peligrosos.• Norma Oficial Mexicana NOM-220-SSA1-2016, Instalación y operación de la farmacovigilancia.• Norma Oficial Mexicana NOM-240-SSA1-2012, Instalación y operación de la tecnovigilancia• Norma Oficial Mexicana NOM-001-STPS-2008, Edificios, locales, instalaciones y áreas en los centros de trabajo-Condiciones de seguridad.• Norma Oficial Mexicana NOM-005-STPS-1998, Relativa a las condiciones de seguridad e higiene en los centros de trabajo para el manejo, transporte y almacenamiento de sustancias químicas peligrosas.• Norma Oficial Mexicana NOM-026-STPS-2008, Colores y señales de seguridad e higiene, e identificación de riesgos por fluidos conducidos en tubería.• Norma Oficial Mexicana NOM-045-SSA2-2005, Para la vigilancia epidemiológica, prevención y control de las infecciones nosocomiales.• Norma Oficial Mexicana NOM-017-STPS-2024, Equipo de protección personal-Selección, uso y manejo en los centros de trabajo.The notified draft Mexican Official Standard is partially equivalent to the following international standards:• ISO 9000:2008 Quality management systems — Fundamentals and vocabulary.• ISO 9001:2008 Quality management systems — Requirements.• ISO 9004:2008 Managing for the sustained success of an organization — A quality management approach.• ISO 19011:2002 Guidelines for quality and/or environmental management systems auditing.• ISO 14644: Cleanrooms and associated controlled environments, Parts 1 and 2. 2003 ISO/TC 209 &amp; FS 209, Appendix 1.• WHO Expert Committee on Specifications for Pharmaceutical Preparations, Thirty-seventh Report.• WHO Technical Report Series 908, Geneva, 2003.</t>
  </si>
  <si>
    <t>Proyecto de Norma Oficial Mexicana PROY-NOM-072-SSA1-2025, Etiquetado de medicamentos y de remedios herbolarios. </t>
  </si>
  <si>
    <t>The notified draft Mexican Official Standard establishes the requirements for the sanitary information that must be included on the labels of medicines and herbal remedies for human use and in the instructions for these products. The notified text is binding on all establishments engaged in the processing of medicines and herbal remedies for human use that are marketed or supplied in Mexican territory.</t>
  </si>
  <si>
    <t>Es de observancia obligatoria para todos los establecimientos relacionados con el proceso de medicamentos y remedios herbolarios, para uso humano que se comercializan o suministran en el territorio nacional.</t>
  </si>
  <si>
    <r>
      <rPr>
        <sz val="11"/>
        <rFont val="Calibri"/>
      </rPr>
      <t>https://members.wto.org/crnattachments/2026/TBT/MEX/26_00599_00_s.pdf</t>
    </r>
  </si>
  <si>
    <t>The following existing Mexican Official Standards, or those replacing them, must be consulted and implemented in order to correctly implement the notified draft Mexican Official Standard:• Norma Oficial Mexicana NOM-008-SE-2021, Sistema general de unidades de medida.• Norma Oficial Mexicana NOM-050-SCFI-2004, Información comercial-Etiquetado general de productos.• Norma Oficial Mexicana NOM-073-SSA1-2015, Estabilidad de fármacos y medicamentos, así como de remedios herbolarios.• Norma Oficial Mexicana NOM-220-SSA1-2016, Instalación y operación de la Farmacovigilancia.• Farmacopea de los Estados Unidos Mexicanos, and supplements thereto.• Farmacopea de los Estados Unidos Mexicanos, Suplemento para establecimientos dedicados a la venta y suministro de medicamentos y demás insumos para la salud.• Farmacopea Homeopática de los Estados Unidos Mexicanos.• Farmacopea Herbolaria de los Estados Unidos Mexicanos.</t>
  </si>
  <si>
    <t>Draft Department Administrative Order (DAO) “Prohibition on the Importation and Manufacture of Vape Open Pods and E-Liquids”</t>
  </si>
  <si>
    <t>The shortened commenting period of seven (7) days is proposed in view of the urgent public health considerations surrounding the draft issuance. Recent regulatory actions of the Department of Trade and Industry underscore the need to ensure that only compliant vaporized nicotine and non-nicotine products remain available in the market. Moreover, reports regarding vape products allegedly containing synthetic cannabinoids—chemicals that mimic the effects of cannabis and pose serious health risks—highlight the potential harm posed by continued market access to such products.</t>
  </si>
  <si>
    <t>This Order shall take effect immediately after its publication in the Official Gazette or in two (2) newspapers of general circulation.</t>
  </si>
  <si>
    <r>
      <rPr>
        <sz val="11"/>
        <rFont val="Calibri"/>
      </rPr>
      <t>https://members.wto.org/crnattachments/2026/TBT/PHL/26_00568_00_e.pdf</t>
    </r>
  </si>
  <si>
    <t>Draft Commission Implementing Decision not renewing the approval of cypermethrin for use in biocidal products of product-type 8 in accordance with Regulation (EU) No 528/2012 of the European Parliament and of the Council</t>
  </si>
  <si>
    <t>This draft Commission Implementing Decision does not renew the approval of cypermethrin for use in biocidal products of product-type 8.On 24 November 2023, an application was submitted in accordance with Article 13(1) of Regulation (EU) No 528/2012 for the renewal of the approval of cypermethrin for use in biocidal products of product-type 8.On 21 May 2025, the applicant informed the Commission that they withdrew their support for cypermethrin renewal of approval for PT8. The draft Decision will therefore propose to not renew the approval of cypermethrin for PT8</t>
  </si>
  <si>
    <t>Protection of human health or safety (TBT); Protection of the environment (TBT); Harmonization (TBT)</t>
  </si>
  <si>
    <t>May 2026</t>
  </si>
  <si>
    <r>
      <rPr>
        <sz val="11"/>
        <rFont val="Calibri"/>
      </rPr>
      <t>https://members.wto.org/crnattachments/2026/TBT/EEC/26_00566_00_e.pdf</t>
    </r>
  </si>
  <si>
    <t>Regulation (EU) No 528/2012 of the European Parliament and of the Council of 22 May 2012 concerning the making available on the market and use of biocidal products (OJ L 167, 27.6.2012, p. 1.). Available in all EU languages. EUR-Lex - 32012R0528 - EN - EUR-Lex (europa.eu)</t>
  </si>
  <si>
    <t>Draft Commission Implementing Decision repealing Implementing Decision (EU) 2025/362 postponing the expiry date of the approval of cypermethrin for use in biocidal products of product-type 8 in accordance with Regulation (EU) No 528/2012 of the European Parliament and of the Council</t>
  </si>
  <si>
    <t>This draft Commission Implementing Decision repeals the postponement of the expiry date of the approval of cypermethrin for use in biocidal products of product type (PT) 8.On 24 November 2023, an application was submitted in accordance with Article 13(1) of Regulation (EU) No 528/2012 for the renewal of the approval of cypermethrin for use in biocidal products of PT8.On 21 May 2025, the applicant has informed the Commission that they withdrew their support for cypermethrin for PT8. Consequently, a draft Decision is being prepared to not renew the approval of cypermethrin for PT8. Further to that Decision, it is necessary to repeal the postponement of the expiry date of the approval of cypermethrin for PT8. The present draft Decision therefore intends to repeal Decision (EU) 2025/362 postponing the expiry date of the approval of cypermethrin for PT8</t>
  </si>
  <si>
    <r>
      <rPr>
        <sz val="11"/>
        <rFont val="Calibri"/>
      </rPr>
      <t>https://members.wto.org/crnattachments/2026/TBT/EEC/26_00567_00_e.pdf</t>
    </r>
  </si>
  <si>
    <t>Resolución 117-2026-IPSA, Establecimiento de Requisitos Fitosanitarios para la Importación de arroz granza (Oryza sativa) origen Brasil (Resolution No. 117-2026-IPSA establishing phytosanitary requirements for the importation of rice (Oryza sativa) in the husk originating in Brazil)</t>
  </si>
  <si>
    <t>The notified Resolution establishes the phytosanitary requirements for the importation of rice in the husk from Brazil.1. The shipment must be accompanied by an official phytosanitary certificate, which certifies that the grains have been officially inspected by the national plant protection organization (NPPO) of the country of origin and have been found free of: Oryza rufipogon, Oryza punctata, Chenopodiastrum murale, Chenopodium album, Liposcelis entomophila;2. The shipment must be free from soil and any foreign material or contaminants;3.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</si>
  <si>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Rice (Oryza sativa) in the husk</t>
  </si>
  <si>
    <r>
      <rPr>
        <sz val="11"/>
        <rFont val="Calibri"/>
      </rPr>
      <t>https://members.wto.org/crnattachments/2026/SPS/NIC/26_00578_00_s.pdf</t>
    </r>
  </si>
  <si>
    <t>Draft COMMISSION REGULATION amending Commission Regulation (EU) 2024/1103 as regards a number of definitions, requirements for the self-learning functionality, values related to control accuracy and control to set point deviation and testing methods of ecodesign requirements for local space heaters</t>
  </si>
  <si>
    <t>This draft Commission Regulation amends the recently approved Regulation (EU) 2024/1103 on ecodesign requirements for local space heaters. The following changes are made: Article 6 is deleted. In Article 2, the definition of ‘air heating product’ is modified. Article 11 is amended to delete the reference to Article 6 and to lay down a transitional period for compliance with the new limit for the self-learning functionality. In Annex I: the definitions of ‘electric portable local space heater’, ‘electric visibly glowing radiant portable local space heater’ and ‘electric fixed local space heater’ are modified. In Annex II, the paragraph referring to idle mode is modified and a new paragraph on self-learning functionality is added. Additionally, the corresponding tables are modified to include product information on the self-learning functionality. In Annex II and Annex III, the required values for control accuracy and control to setpoint deviation for the allocation of the F(3) factors, are expressed as absolute values. In Annex III the corresponding requirements regarding measurements, units and rounding of the power consumption of the self-learning functionality have been included. In the tables in Annex IV, transitional testing methods for the self-learning functionality have been introduced in all tables where this was needed, the term for power consumption in standby mode (elsm) in the first table for gaseous-fuelled LSHs has been replaced by Psm for consistency across the legal text, the transitional methods for idle mode have been included in the table for electric local space heaters, where they were missing, and a comment has been included in the table on separate related controls for the idle mode. Annex V is modified to replace the reference to Article 6, that has been removed, by one to the ESPR, and to include the self-learning functionality in the table intended for verification of compliance with the ecodesign requirements.</t>
  </si>
  <si>
    <t>Local space heaters</t>
  </si>
  <si>
    <t>After the adoption of Regulation (EU) 2024/1103 certain aspects have been identified that need to be adapted. First, the definition of ‘air heating product’ in Article 2, point (12) of Regulation (EU) 2024/1103 should be changed so that portable air heating products such as fan heaters are not excluded from the scope of the Regulation.'Second, Article 6 on circumvention needs to be deleted since Article 40 paragraphs 1 to 4 of Regulation (EU) 2024/1781 of the European Parliament and of the Council[1] (ESPR), already ensures that prevention of circumvention is tackled in a comprehensive manner to products covered by Regulation (EU) 2024/1103, making Article 6 unnecessary. This also entails that the reference to Article 6 must be deleted in Article 11 on the entry into force and application of Regulation (EU) 2024/1103, and that the reference in Annex V to that article must be replaced by a reference to the ESPR. Third, the definitions of ‘electric portable local space heater’ and ‘electric visibly glowing radiant portable local space heater’ in Annex I to Commission Regulation (EU) 2024/1103 should be changed so that electric portable local space heaters not equipped with a cord and a plug by the manufacturer are not excluded from the scope of the Regulation. In addition, for safety reasons, the definition of ‘electric visibly glowing radiant portable local space heaters’ must be adapted to ensure that electric visibly glowing radiant local space heaters that can be moved according to the heating needs of the user but that are nevertheless equipped with fixing elements, are subject to the requirements applicable to portable and not to fixed appliances.Fourth, the definition of ‘electric fixed local space heater’ must be modified to clarify that electric visibly glowing radiant local space heaters are not electric fixed local space heaters. Fifth, it is necessary to clarify that the higher power consumption limit for the idle mode of 3 W may also apply when the sensor monitoring the room temperature is integrated in the local space heater. Sixth, a new power consumption limit has been set for the self-learning functionality, to prevent excessive energy use by local space heaters featuring such functionality. This goes along with an extended deadline to comply with that limit and to the reference of standards that can be used to prove compliance of self-learning functionality with ecodesign rules. Seventh, some of the tables in Annex IV including the transitional testing methods have been modified or added to ensure that the same short name referring to power consumption in standby mode (Psm) is used across the text and to complement information on idle mode (PidleEighth, it should be clarified that the required values for control accuracy (CA) and control to setpoint deviation (CSD), for the purpose of allocation of the F(3) factors in Annex III, refer to absolute values._x000D_
[1]  Regulation (EU) 2024/1781 of the European Parliament and of the Council of 13 June 2024 establishing a framework for the setting of ecodesign requirements for sustainable products, amending Directive (EU) 2020/1828 and Regulation (EU) 2023/1542 and repealing Directive 2009/125/EC (OJ L, 2024/1781, 28.6.2024, ELI: http://data.europa.eu/eli/reg/2024/1781/oj).</t>
  </si>
  <si>
    <t>20 days from publication in the Official Journal of the EU. The provisions shall apply immediately, except the new limit for the self-learning functionality, that would apply from 9 May 2027.</t>
  </si>
  <si>
    <r>
      <rPr>
        <sz val="11"/>
        <rFont val="Calibri"/>
      </rPr>
      <t>https://members.wto.org/crnattachments/2026/TBT/EEC/26_00564_00_e.pdf
https://members.wto.org/crnattachments/2026/TBT/EEC/26_00564_01_e.pdf</t>
    </r>
  </si>
  <si>
    <t>Directive 2009/125/EC of the European Parliament and of the Council of 21 October 2009 establishing a framework for the setting of ecodesign requirements for energy-related products, Official Journal L 285 , 31 October 2009, P. 010.http://eur-lex.europa.eu/LexUriServ/LexUriServ.do?uri=OJ:L:2009:285:0010:0035:en:PDFCommission Regulation (EU) 2024/1103 of 18 April 2024 implementing Directive 2009/125/EC of the European Parliament and of the Council as regards ecodesign requirements for local space heaters and separate related controls, and repealing Commission Regulation (EU) 2015/1188.Regulation - EU - 2024/1103 - EN - EUR-Lex (europa.eu)</t>
  </si>
  <si>
    <t>International Veterinary Health Certificates for Dogs and Cats</t>
  </si>
  <si>
    <t>This notification is to share and inform each of the trading countries that the Philippines has revised its International Veterinary Health Certificate for Export of Pets (Dogs and Cats), Animal Products and By-Products, and Live Animals.</t>
  </si>
  <si>
    <t>Other live mammals (includes cats and dogs) (HS code: 0106.19); Other live animals (HS code: 0106); Animal products and by-products (HS codes: 0504 - 0511); Meat, meat products and other animal produce (ICS code: 67.120)</t>
  </si>
  <si>
    <t>01 - LIVE ANIMALS; 05 - PRODUCTS OF ANIMAL ORIGIN, NOT ELSEWHERE SPECIFIED OR INCLUDED; 0106 - Live animals (excl. horses, asses, mules, hinnies, bovine animals, swine, sheep, goats, poultry, fish, crustaceans, molluscs and other aquatic invertebrates, and microorganic cultures etc.); 010619 - Live mammals (excl. primates, whales, dolphins and porpoises, manatees and dugongs, seals, sea lions and walruses, camels and other camelids, rabbits and hares, horses, asses, mules, hinnies, bovines, pigs, sheep and goats); 0504 - Guts, bladders and stomachs of animals (other than fish), whole and pieces thereof, fresh, chilled, frozen, salted, in brine, dried or smoked.; 0505 - Skins and other parts of birds, with their feathers or down, feathers and parts of feathers, whether or not with trimmed edges, and down, not further worked than cleaned, disinfected or treated for preservation; powder and waste of feathers or parts of feathers; 0506 - Bones and horn-cores and their powder and waste, unworked, defatted, simply prepared, treated with acid or degelatinised (excl. cut to shape); 0507 - Ivory, tortoiseshell, whalebone and whalebone hair, horns, antlers, hooves, nails, claws and beaks, unworked or simply prepared; powder and waste of these products (excl. cut to shape); 0508 - Coral and similar materials, unworked or simply prepared but not otherwise worked; shells of molluscs, crustaceans or echinoderms and cuttle-bone, unworked or simply prepared but not cut to shape, powder and waste thereof.; 0510 - Ambergris, castoreum, civet and musk; cantharides; bile, whether or not dried; glands and other animal products used in the preparation of pharmaceutical products, fresh, chilled, frozen or otherwise provisionally preserved.; 0511 - Animal products n.e.s.; dead animals of all types, unfit for human consumption</t>
  </si>
  <si>
    <r>
      <rPr>
        <sz val="11"/>
        <rFont val="Calibri"/>
      </rPr>
      <t>https://members.wto.org/crnattachments/2026/SPS/PHL/26_00462_00_e.pdf</t>
    </r>
  </si>
  <si>
    <t>Notification for new ER on “Communication module for IoT/ M2M devices”</t>
  </si>
  <si>
    <t>This proposed document contains the new essential requirements for “Communication module for IoT/ M2M devices” of two variants viz. Standalone/Composite Communication module and Standalone/Composite Communication module for Smart Electricity Meter. A communication module is a unit that enables transmission and/or reception of any message by wired, radio, optical or other electromagnetic system.</t>
  </si>
  <si>
    <t>The proposed document of ER on “Communication module for IoT/ M2M devices”.</t>
  </si>
  <si>
    <r>
      <rPr>
        <sz val="11"/>
        <rFont val="Calibri"/>
      </rPr>
      <t>https://members.wto.org/crnattachments/2026/TBT/IND/26_00577_00_e.pdf</t>
    </r>
  </si>
  <si>
    <t>Resolución 119-2026-IPSA, Establecimiento de Requisitos Fitosanitarios para la Importación de fruta fresca nectarina (Prunus persica var. nucipersica) origen Chile (Resolution No. 119-2026-IPSA establishing phytosanitary requirements for the importation of fresh nectarines (Prunus persica var. nucipersica) originating in Chile)</t>
  </si>
  <si>
    <t>The notified Resolution establishes the phytosanitary requirements for the importation of fresh nectarines from Chile.1. The shipment must be accompanied by an official phytosanitary certificate, stating in the additional declaration that the plant product has been officially inspected by the national plant protection organization of the country of origin and found free of: Grapholita molesta;2.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</si>
  <si>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nectarines (Prunus persica var. nucipersica)</t>
  </si>
  <si>
    <r>
      <rPr>
        <sz val="11"/>
        <rFont val="Calibri"/>
      </rPr>
      <t>https://members.wto.org/crnattachments/2026/SPS/NIC/26_00580_00_s.pdf</t>
    </r>
  </si>
  <si>
    <t>Normalizing Unmanned Aircraft Systems Beyond Visual Line of Sight 
Operations; Reopening of Comment Period</t>
  </si>
  <si>
    <t xml:space="preserve">This action reopens the comment period for the notice of proposed rulemaking titled "Normalizing Unmanned Aircraft Systems Beyond Visual Line of Sight Operations'' that was published in the Federal Register on 7 August 2025 (notified as G/TBT/N/USA/2232). FAA seeks additional comments on the electronic conspicuity and right-of-way topics identified in this notice.Send comments on or before 11 February 2026.91 Federal Register (FR) 3695, 28 January 2026; Title 14 Code of Federal Regulations Parts 364345488991107108119133135137, and 146_x000D_
https://www.govinfo.gov/content/pkg/FR-2026-01-28/html/2026-01644.htm_x000D_
https://www.govinfo.gov/content/pkg/FR-2026-01-28/pdf/2026-01644.pdfThis reopening of comment period and previous actions notified under the symbol G/TBT/N/USA/2232 are identified by Docket Number FAA-2025-1908. The Docket Folder is available on Regulations.gov at https://www.regulations.gov/docket/FAA-2025-1908/document and provides access to primary and supporting documents as well as comments received. Documents are also accessible from Regulations.gov by searching the Docket Number. WTO Members and their stakeholders are asked to submit comments to the USA TBT Enquiry Point. Comments received by the USA TBT Enquiry Point from WTO Members and their stakeholders by 4pmEastern Time on 11 February 2026 will be shared with the FAA and will also be submitted to the Docket on Regulations.gov if received within the comment period._x000D_
</t>
  </si>
  <si>
    <t>Resolución 118-2026-IPSA Establecimiento de Requisitos Fitosanitarios para la Importación de semilla de nancitón (Hyeronima alchornoides) origen Costa Rica (Resolution No. 118-2026-IPSA establishing phytosanitary requirements for the importation of Hieronyma alchorneoides seeds originating in Costa Rica)</t>
  </si>
  <si>
    <t>The notified Resolution establishes the phytosanitary requirements for the importation of rice in the husk from Brazil.1. The shipment must be accompanied by an official phytosanitary certificate, which certifies that the grains have been inspected by the national plant protection organization (NPPO) of the country of origin;2. The shipment must be free from soil and any foreign material or contaminants;3. The contents must be presented in new, first-use packaging, completely free of foreign material or contaminants;4.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</si>
  <si>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r>
      <rPr>
        <sz val="11"/>
        <rFont val="Calibri"/>
      </rPr>
      <t>https://members.wto.org/crnattachments/2026/SPS/NIC/26_00579_00_s.pdf</t>
    </r>
  </si>
  <si>
    <t>Fisheries Administrative Order No. 273, Series of 2025 - Rules and Regulations Governing the Exportation of Fish and Fishery/Aquatic (FFA) Products Intended for Human Consumption</t>
  </si>
  <si>
    <t>This order lays down specific hygiene rules of primary and post-harvest stages of fish and fishery/aquatic (FFA) products to be compiled by all fishery and aquaculture business operators (FABO) intending to export fish and fishery/aquatic (FFA) products for human consumption regardless of country of destination.</t>
  </si>
  <si>
    <t>Fish and fishery products (ICS code: 67.120)</t>
  </si>
  <si>
    <t>03 - FISH AND CRUSTACEANS, MOLLUSCS AND OTHER AQUATIC INVERTEBRATES; 16 - PREPARATIONS OF MEAT, OF FISH, OF CRUSTACEANS, MOLLUSCS OR OTHER AQUATIC INVERTEBRATES, OR OF INSECTS; 121221 - Seaweeds and other algae, fresh, chilled, frozen or dried, whether or not ground, fit for human consumption</t>
  </si>
  <si>
    <r>
      <rPr>
        <sz val="11"/>
        <rFont val="Calibri"/>
      </rPr>
      <t>https://members.wto.org/crnattachments/2026/SPS/PHL/26_00498_00_e.pdf</t>
    </r>
  </si>
  <si>
    <t>Veterinary Health Certificate for Import of Gelatine derived from the Bones or Skins of Bovine/Porcine (other than wild/feral) into India</t>
  </si>
  <si>
    <t>The measures are intended to ensure appropriate product standards, processing, sanitary measures relating to health status of source animals in line with extant World Organisation for Animal Health recommendations on animal health; and to safeguard the country’s biosecurity, in a manner consistent with the SPS Agreement.</t>
  </si>
  <si>
    <t>Gelatine and products thereof </t>
  </si>
  <si>
    <t>350300 - Gelatin, whether or not in square or rectangular sheets, whether or not surface-worked or coloured, and gelatin derivatives; isinglass; other glues of animal origin (excl. those packaged as glue for retail sale and weighing net &lt;= 1 kg, and casein glues of heading 3501)</t>
  </si>
  <si>
    <t>Human health; Food safety; Animal health; Animal diseases</t>
  </si>
  <si>
    <t>60 days from the date of circulation of the notification.</t>
  </si>
  <si>
    <r>
      <rPr>
        <sz val="11"/>
        <rFont val="Calibri"/>
      </rPr>
      <t>https://members.wto.org/crnattachments/2026/SPS/IND/26_00575_00_e.pdf</t>
    </r>
  </si>
  <si>
    <t>Substitute Sanitary Technical Regulations for good manufacturing practices for medicinal gases</t>
  </si>
  <si>
    <t>The Republic of Ecuador hereby notifies Resolution ARCSA-DE-2025-053-DASP through which the National Agency for Sanitary Regulation, Control and Surveillance (ARCSA, Doctor Leopoldo Izquieta Pérez) issued the Substitute Sanitary Technical Regulations for good 1 This information can be provided by including a website address, a PDF attachment, or other information on where the text of the final/modified measure and/or interpretative guidance can be obtained.G/TBT/N/ECU/556/Add.1- 2 - manufacturing practices for medicinal gases. The notified Resolution establishes the requirements and guidelines for granting the certificate of good manufacturing practices to pharmaceutical laboratories where medicinal gases intended for marketing within Ecuadorian territory are produced.Contact details of agency or authority designated to handle comments regarding the notification:Agency:Ministerio de Producción, Comercio Exterior, Inversiones y Pesca, MPCEIP (Ministry of Production, Foreign Trade, Investment and Fisheries)Subsecretaría de la Calidad (Under-Secretariat for Quality)Primary enquiry point:Cristian Eduardo Yépez JaramilloPlataforma Gubernamental de Gestión FinancieraAv. Amazonas entre Unión Nacional de Periodistas y Alfonso PereiraPiso 8Bloque amarilloQuito EC170522Tel.: (+593 2) 3948760, Ext. 2254 or 2252Email: puntocontacto-otcecu@produccion.gob.ec; puntocontactoecu@gmail.com; cyepez@produccion.gob.ecWebsite: http://www.produccion.gob.ec.__________</t>
  </si>
  <si>
    <t>Productos aplicables a buenas prácticas de manufactura de gases medicinales </t>
  </si>
  <si>
    <r>
      <rPr>
        <sz val="11"/>
        <rFont val="Calibri"/>
      </rPr>
      <t>https://members.wto.org/crnattachments/2026/TBT/ECU/26_00592_00_s.pdf</t>
    </r>
  </si>
  <si>
    <t>Proyecto de resolución del Instituto Colombiano Agropecuario "Por medio de la cual se establecen los requisitos fitosanitarios para la importación a Colombia de plantas in vitro de Alstroemeria (Alstroemeria spp.) de origen y procedencia Kenia, para ensayo, uso comercial y/o siembra" (Draft Colombian Agricultural Institute Resolution establishing the phytosanitary requirements for the importation into Colombia of in vitro alstroemeria (Alstroemeria spp.) plants originating in and coming from Kenya, for testing, commercial use and/or sowing)</t>
  </si>
  <si>
    <t>The notified draft Resolution establishes the phytosanitary requirements for the importation into Colombia of in vitro alstroemeria (Alstroemeria spp.) plants originating in and coming from Kenya, for testing, commercial use and/or sowing. The provisions will apply to all natural or legal persons who import into Colombia in vitro alstroemeria (Alstroemeria spp.) plants originating in and coming from Kenya, for testing, commercial use and/or sowing.</t>
  </si>
  <si>
    <t>In vitro alstroemeria (Alstroemeria spp.) plants (HS code: 060290)</t>
  </si>
  <si>
    <r>
      <rPr>
        <sz val="11"/>
        <rFont val="Calibri"/>
      </rPr>
      <t>https://members.wto.org/crnattachments/2026/SPS/COL/26_00583_00_s.pdf
https://www.sucop.gov.co/entidades/ica/Normativa?IDNorma=27008</t>
    </r>
  </si>
  <si>
    <t>Commission Implementing Regulation (EU) 2026/85 of 14 January 2026 concerning the authorisation of tartrazine as a feed additive for its use in baits for freshwater food-producing finfish (Text with EEA relevance)</t>
  </si>
  <si>
    <t>This Regulation authorises for the first time in the European Union and for a period of ten years tartrazine as a feed additive belonging to the category ‘sensory additives’ and in the functional group ‘colourants, (i) substances that add or restore colour in feedingstuffs’ for its use in baits for freshwater food-producing finfish. This authorisation is based on the favourable conclusions of a scientific assessment of the dossier submitted by the applicant, conducted by the European Food Safety Authority (EFSA). The terms of the authorisation are detailed in the Annex to the Act.</t>
  </si>
  <si>
    <t>Maximum residue limits (MRLs); Animal health</t>
  </si>
  <si>
    <r>
      <rPr>
        <sz val="11"/>
        <rFont val="Calibri"/>
      </rPr>
      <t>https://members.wto.org/crnattachments/2026/SPS/EEC/26_00560_00_e.pdf
https://members.wto.org/crnattachments/2026/SPS/EEC/26_00560_00_f.pdf
https://members.wto.org/crnattachments/2026/SPS/EEC/26_00560_00_s.pdf</t>
    </r>
  </si>
  <si>
    <t>Proposal for a Regulation of the European Parliament and of the Council amending Regulations (EC) No 999/2001, (EC) No 1829/2003, (EC) No 1831/2003, (EC) No 852/2004, (EC) No 853/2004, (EC) No 396/2005, (EC) No 1099/2009, (EC) No 1107/2009, (EU) No 528/2012, (EU) 2017/625 as regards the simplification and strengthening of food and feed safety requirements (Text with EEA relevance)</t>
  </si>
  <si>
    <t>Amendment to Regulation (EC) No 999/2001: the proposal will make Regulation (EC) No 999/2001 more flexible to ensure that the control measures of that disease can be updated in a swifter and more proportionate manner to enable that it becomes more science-based and more aligned with the relevant Chapter 11.4 of the WOAH Terrestrial Code.Amendment to Regulation (EC) No 1829/2003: clarification of legal status of food and feed obtained using genetically modified organisms.Amendments to Regulation (EC) No 1831/2003: the draft act provides for 1/ unlimited duration of authorisation of feed additives (except coccidiostats and histomonostats) accompanied by safety safeguards, 2/ simplification and clarification of procedures for modification of feed additives authorisations and 3/ allowing digital labelling of feed additives and premixtures for certain non-safety information.Amendment to Regulation (EC) No 1099/2009: this part of the proposal removes the obligation in Article 18(4) of Regulation (EC) No 1099/2009 for Member States to submit a separate annual report on depopulation operations. Information on compliance with animal welfare requirements during depopulation activities will instead continue to be reported through the existing annual reports under Regulation (EU) 2017/625 on official controls.Amendment to Regulation (EC) No 396/2005: the proposed regulation allows for more flexible transitional measures in cases where Maximum Residue Limits (MRLs) are lowered, allows the setting of permanent MRLs based on monitoring data, aligns the terminology “limit of quantification (LOQ)”, and introduces the possibility on a case-by-case basis to set MRLs at the LOQ for the most hazardous pesticides (substances with mutagenic, carcinogenic, or reprotoxic properties as well as endocrine disruptors that may cause adverse effects in humans and in non-target organisms, persistent organic pollutants (POP), persistent, bioaccumulative and toxic (PBT) and very persistent and very bioaccumulative (vPvB) substances).Amendment to Regulation (EC) No 1107/2009: the draft Proposal for a Regulation of the European Parliament and of the Council amending Regulation (EC) No 1107/2009 proposes a number of changes to lower administrative burden and allow for faster market access, without reducing the existing protection standards for health and the environment. The proposal aims to accelerate access to innovative biocontrol solutions. This will be achieved by, among others, tackling procedural inefficiencies, defining biocontrol substances, allowing provisional authorisations of products containing biocontrol substances, and reallocating or increasing resources in Member State authorities and the European Food Safety Authority. The possibility for certain active substances to have unlimited approval periods is proposed, alongside new provisions to allow for the renewal or targeted reassessment of those substances. Existing provisions concerning derogation from the approval criteria and grace periods are also amended. The proposal also intends to expand market access for plant protection products through stronger mutual recognition of product authorisations between Member States and strengthened support for minor uses. In addition, the proposal intends to clarify provisions related to basic substances, seed treatment and data protection to increase harmonisation of implementation across Member States. Amendment to Regulation (EU) No 528/2012: the draftProposal for a Regulation of the European Parliament and of the Council amending Regulation (EU) No 528/2012 proposes to extend the data protection of data of existing active substances still under evaluation in the review programme due to delays in the completion of the review programme.Amendment to Regulation (EU) 2017/625: two amendments are proposed on the official controls Regulation (OCR): (a) Article 50(3) is amended to provide the possibility to competent authorities of border control posts to split the consignments of plant and plant products before completing the official controls on the entirety of the consignment, in order to release the parts for which official controls have been finalised while other parts still need further controls. (b) Articles 41, 93, 100 and 144 are amended so that the Commission is empowered to adopt delegated acts concerning the cases where, and the conditions under which, laboratories may be designated as official laboratories, national reference laboratories and EU reference laboratories, while operating and being accredited in accordance with similar laboratory standards to EN ISO/IEC 17025 and/or not being accredited for all the methods they use for official controls or other official activities.</t>
  </si>
  <si>
    <t>This proposal amends a broad range of legislations with their various product coverages, as indicatively listed below:Food and feed obtained using genetically modified organisms, as covered by Regulation (EC) No 1829/2003Preparations of a kind used in animal feeding, as covered by Regulation (EC) No 1831/2003Live animals as covered by Regulation (EC) No 1099/2009Maximum residue levels for pesticides in food and feed, as covered by Regulation (EC) No 396/2005Live animals and certain commodities (bovine collagen and gelatine), as covered by Regulation (EC) No 999/2001Biocidal Products, as covered by Regulation (EU) No 528/2012Plants, plant products and other objects referred to in Article 47(1)(c) of Regulation (EU) 2017/625 [only for the amendment of Article 50(3)]Plant protection productsas covered byRegulation (EC) No 1107/2009</t>
  </si>
  <si>
    <t>Pesticides; Maximum residue limits (MRLs)</t>
  </si>
  <si>
    <t>The Regulation(s) shall enter into force on the twentieth day following that of their publication in the Official Journal of the European Union.</t>
  </si>
  <si>
    <r>
      <rPr>
        <sz val="11"/>
        <rFont val="Calibri"/>
      </rPr>
      <t>https://members.wto.org/crnattachments/2026/SPS/EEC/26_00559_00_e.pdf</t>
    </r>
  </si>
  <si>
    <t>Resolución 120-2026-IPSA, Establecimiento de Requisitos Fitosanitarios para la Importación de fruta fresca pera (Pyrus communis) origen España (Resolution No. 120-2026-IPSA establishing phytosanitary requirements for the importation of fresh pears (Pyrus communis) originating in Spain)</t>
  </si>
  <si>
    <t>The notified Resolution establishes the phytosanitary requirements for the importation of fresh pears from Spain.1. The shipment must be accompanied by an official phytosanitary certificate, stating in the additional declaration that the plant product has been officially inspected by the national plant protection organization of the country of origin and found free of: Grapholita molesta, Adoxophyes orana, Diplodia seriata, Monilinia fructigena, Podosphaera leucotricha, Cydia pomonella, Pseudococcus viburni;2.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</si>
  <si>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pears (Pyrus communis)</t>
  </si>
  <si>
    <r>
      <rPr>
        <sz val="11"/>
        <rFont val="Calibri"/>
      </rPr>
      <t>https://members.wto.org/crnattachments/2026/SPS/NIC/26_00581_00_s.pdf</t>
    </r>
  </si>
  <si>
    <t>Draft - Establishes the phytosanitary requirements for the import of Brassica juncea seeds produced in any origin</t>
  </si>
  <si>
    <t>Draft Ordinance aiming to establish the phytosanitary requirements for the import of seeds (Category 4) of Brassica juncea produced in any origin.</t>
  </si>
  <si>
    <t>Brassica juncea</t>
  </si>
  <si>
    <t>Territory protection; Plant health</t>
  </si>
  <si>
    <r>
      <rPr>
        <sz val="11"/>
        <rFont val="Calibri"/>
      </rPr>
      <t>https://members.wto.org/crnattachments/2026/SPS/BRA/26_00585_00_e.pdf
https://members.wto.org/crnattachments/2026/SPS/BRA/26_00585_00_x.pdf</t>
    </r>
  </si>
  <si>
    <t>Proposed amendments to the “Regulation on Medical Device Group and Class by Group” </t>
  </si>
  <si>
    <t>The Ministry of Food and Drug Safety (MFDS) is amending the “Regulation on Medical Device Group and Class by Group” as follows: 1) Establishment of new items - Establishment of five new medical device items to classify temporarily designated items2) Adjustment of the class of medical devices - One item was reclassified considering international harmonization and equity with other medical devices.3) Modification of item definition (including clerical error) - The definitions of five medical device items were modified. </t>
  </si>
  <si>
    <t>Medical Devices</t>
  </si>
  <si>
    <r>
      <rPr>
        <sz val="11"/>
        <rFont val="Calibri"/>
      </rPr>
      <t>https://members.wto.org/crnattachments/2026/TBT/KOR/26_00591_00_x.pdf</t>
    </r>
  </si>
  <si>
    <t>MFDS NOTIFICATION No. 2025-466 ( 14 November 2025)</t>
  </si>
  <si>
    <t>Fisheries Administrative Order No. 275 - Rules and Regulations Governing Food Safety and Traceability on Importation of Fish and Fishery/Aquatic Products for Human Consumption</t>
  </si>
  <si>
    <t>This order establishes the guidelines as well as food safety controls and inspection of importation fish and fishery/aquatic products into the Philippines for the purpose of canning or processing and importations certified as necessary.</t>
  </si>
  <si>
    <t>0302 - Fish, fresh or chilled (excl. fish fillets and other fish meat of heading 0304); 030821 - Live, fresh or chilled, sea urchins "Strongylocentrotus spp., Paracentrotus lividus, Loxechinus albus, Echichinus esculentus"; 030812 - Frozen sea cucumbers "Stichopus japonicus, Holothuroidea"; 030811 - Live, fresh or chilled, sea cucumbers "Stichopus japonicus, Holothurioidea"; 030792 - Molluscs, even in shell, frozen (excl. oysters, scallops of the genera Pecten, Chlamys or Placopecten, mussels "Mytilus spp., Perna spp.", cuttle fish and squid, octopus "Octopus spp.", snails other than sea snails, clams, cockles and ark shells, abalone and stromboid conchs); 030791 - Live, fresh or chilled molluscs, even in shell (excl. oysters, scallops of the genera Pecten, Chlamys or Placopecten, mussels "Mytilus spp., Perna spp.", cuttle fish and squid, octopus "Octopus spp.", snails other than sea snails, clams, cockles and ark shells, abalone and stromboid conchs); 030784 - Frozen, even in shell, stromboid conchs "Strombus spp."; 030781 - Live, fresh or chilled, even in shell, abalone "Haliotis spp."; 030772 - Frozen, even in shell, clams, cockles and ark shells "families Arcidae, Arcticidae, Cardiidae, Donacidae, Hiatellidae, Mactridae, Mesodesmatidae, Myidae, Semelidae, Solecurtidae, Solenidae, Tridacnidae and Veneridae"; 030771 - Live, fresh or chilled, even in shell, clams, cockles and ark shells "families Arcidae, Arcticidae, Cardiidae, Donacidae, Hiatellidae, Mactridae, Mesodesmatidae, Myidae, Semelidae, Solecurtidae, Solenidae, Tridacnidae and Veneridae"; 030760 - Snails, live, fresh, chilled, frozen, salted, dried or in brine, even smoked, with or without shell (excl. sea snails); 030752 - Octopus "Octopus spp.", frozen; 030751 - Octopus "Octopus spp.", live, fresh or chilled; 030743 - Cuttle fish and squid, frozen, with or without shell; 030742 - Cuttle fish and squid, live, fresh or chilled, with or without shell; 030732 - Mussels "Mytilus spp., Perna spp.", frozen, even in shell; 030731 - Live, fresh or chilled, not smoked, mussels "Mytilus spp., Perna spp.", with or without shell; 030722 - Scallops and other molluscs of the family Pectinidae, frozen, even in shell; 030721 - Live, fresh or chilled, scallops and other molluscs of the family Pectinidae, even in shell; 030712 - Oysters, even in shell, frozen; 030711 - Oysters, even in shell, live, fresh or chilled; 030639 - Crustaceans, fit for human consumption, whether in shell or not, live, fresh or chilled (excl. rock lobster and other sea crawfish, lobsters, crabs, Norway lobsters, shrimps and prawns); 030631 - Rock lobster and other sea crawfish "Palinurus spp., Panulirus spp. and Jasus spp.", whether in shell or not, live, fresh or chilled; 030619 - Frozen crustaceans, even smoked, fit for human consumption, whether in shell or not, incl. crustaceans in shell, cooked beforehand by steaming or by boiling in water (excl. rock lobster and other sea crawfish, lobsters, crabs, Norway lobsters, shrimps and prawns); 030611 - Frozen rock lobster and other sea crawfish "Palinurus spp.", "Panulirus spp." and "Jasus spp.", even smoked, whether in shell or not, incl. rock lobster and other sea crawfish in shell, cooked by steaming or by boiling in water; 030579 - Fish fins and other edible fish offal, smoked, dried, salted or in brine (excl. heads, tails, maws and shark fins); 030571 - Shark fins, smoked, dried, salted or in brine; 0303 - Frozen fish (excl. fish fillets and other fish meat of heading 0304); 030822 - Frozen sea urchins "Strongylocentrotus spp., Paracentrotus lividus, Loxechinus albus, Echinus esculentus"; 030830 - Live, fresh, chilled, frozen, dried, salted or in brine, even smoked, jellyfish "Rhopilema spp."</t>
  </si>
  <si>
    <r>
      <rPr>
        <sz val="11"/>
        <rFont val="Calibri"/>
      </rPr>
      <t>https://members.wto.org/crnattachments/2026/SPS/PHL/26_00499_00_e.pdf</t>
    </r>
  </si>
  <si>
    <t>Resolución 121-2026-IPSA, Establecimiento de Requisitos Fitosanitarios para la Importación de madera aserrada teca (Tectona grandis) origen El Salvador (Resolution No. 121-2026-IPSA establishing phytosanitary requirements for the importation of sawn teak wood (Tectona grandis) originating in El Salvador)</t>
  </si>
  <si>
    <t>The notified Resolution establishes the phytosanitary requirements for the importation of sawn teak wood from El Salvador.1. The shipment must be accompanied by an official phytosanitary certificate, which certifies that the wood has been inspected by the national plant protection organization (NPPO) of the country of origin;2.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</si>
  <si>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Sawn teak wood (Tectona grandis)</t>
  </si>
  <si>
    <r>
      <rPr>
        <sz val="11"/>
        <rFont val="Calibri"/>
      </rPr>
      <t>https://members.wto.org/crnattachments/2026/SPS/NIC/26_00582_00_s.pdf</t>
    </r>
  </si>
  <si>
    <t>Proposed standard for Gundruk</t>
  </si>
  <si>
    <t>The Department of Food Technology and Quality Control, Ministry of Agriculture and Livestock Development, Nepal, has proposed a standard for Gundruk. This quality standard will apply to Gundruk produced for human consumption and prepared for sale and distribution purposes.Gundruk is a traditional indigenous food of Nepal, and the Codex Alimentarius Commission has not yet developed a standard for Gundruk. </t>
  </si>
  <si>
    <t>Gundruk</t>
  </si>
  <si>
    <t> The proposed date of adoption shall be 181 days following the date of publication in the Nepal Gazette.</t>
  </si>
  <si>
    <t> 181 days following the date of publication in the Nepal Gazette.</t>
  </si>
  <si>
    <r>
      <rPr>
        <sz val="11"/>
        <rFont val="Calibri"/>
      </rPr>
      <t>https://members.wto.org/crnattachments/2026/SPS/NPL/26_00520_00_e.pdf</t>
    </r>
  </si>
  <si>
    <t>Veterinary Health Certificate for Import of Bovine Serum into India</t>
  </si>
  <si>
    <t>Bovine serum and products thereof  </t>
  </si>
  <si>
    <t>051199 - Products of animal origin, n.e.s., dead animals, unfit for human consumption (excl. fish, crustaceans, molluscs or other aquatic invertebrates)</t>
  </si>
  <si>
    <r>
      <rPr>
        <sz val="11"/>
        <rFont val="Calibri"/>
      </rPr>
      <t>https://members.wto.org/crnattachments/2026/SPS/IND/26_00573_00_e.pdf</t>
    </r>
  </si>
  <si>
    <t>Draft Circular stipulating regulations on traceability of food products under the management of Ministry of Industry and Trade </t>
  </si>
  <si>
    <t>This draft Circular regulates food traceability and traceability systems; supervision and inspection of food products; and the responsibilities of relevant organizations and individuals within the scope of management of the Ministry of Industry and Trade.It applies to domestic and foreign organizations and individuals engaged in the import, export, production, transportation, and trading of food products in Viet Nam under the management of the Ministry of Industry and Trade.This draft Circular does not apply to:a) Food products  that are temporarily imported for re-export; in transit, transhipped, or stored in bonded warehouses for export to a third country;b) Small-scale food products produced by households or individuals for on-site consumption and not placed on the market.</t>
  </si>
  <si>
    <t>At present, in Viet Nam, counterfeit, unsafe, and low-quality food products reamains widespread on the market; violations of food safety are increasingly common and have become a pressing and urgent issue. The failure to ensure food safety has caused serious consequences for public health and the social quality. In addition, cancer incidence has been steadily rising, a significant proportion of which is attributable to the situation of counterfeit, unsafe, and low-quality food. It is estimated that up to 35% of cancer cases in Viet Nam are directly related to the consumption of unsafe food. Therefore, food origin tracing is one of the key measures for monitoring and controlling of food quality, ensuring food safety and addressing the current problem of unsafe and counterfeit food in Viet Nam</t>
  </si>
  <si>
    <r>
      <rPr>
        <sz val="11"/>
        <rFont val="Calibri"/>
      </rPr>
      <t>https://members.wto.org/crnattachments/2026/TBT/VNM/26_00586_00_x.pdf</t>
    </r>
  </si>
  <si>
    <t>* Law on Food Safety * Law on Protection of Consumer Rights</t>
  </si>
  <si>
    <t>Commission Implementing Regulation (EU) 2026/194  of 28 January 2026 amending Implementing Regulation (EU) 2019/1793 on the temporary increase of official controls and emergency measures governing the entry into the Union of certain goods from certain third countries implementing Regulations (EU) 2017/625 and (EC) No 178/2002 of the European Parliament and of the Council (Text with EEA relevance)</t>
  </si>
  <si>
    <t>Regulation (EU) 2019/1793 lays down rules concerning the temporary increase of official controls upon entry into the Union on certain food and feed of non-animal origin from certain third countries (in Annex I); special import conditions for certain food and feed from certain third countries due to the contamination risk by mycotoxins, including aflatoxins, pesticide residues, and microbiological contamination (in Annex II - increased official border controls and official certificate accompanied by the results of sampling and analysis in the third country). This Implementing Regulation amends Annexes I and II to Implementing Regulation (EU) 2019/1793 by introducing the following changes:Inclusion in Annex I: Strawberries from Egypt due to the risk of pesticide residues (frequency set at 20%). Decrease in the frequency of identity and physical checks laid down in Annex I for: Oranges from Egypt (pesticide residues from: 20% to 10%);Lemons from Türkiye (Citrus limon, Citrus limonum) (pesticide residues from: 30% to 20%).Increase in the frequency of identity and physical checks laid down in Annex I for the following commodities:Seem beans and helmet beans (Lablab purpureus) from Bangladesh (pesticide residues: from 20% to 30%);Palm oil from Côte d’Ivoire (Sudan dyes: from 20% to 30%) and limit official controls only for packed products for direct human consumption;Peppers of the genus Capsicum (other than sweet) from Rwanda (pesticide residues: from 30% to 50%);Peppers of the genus Capsicum (other than sweet) from Thailand (pesticide residues: from 30% to 50%);Sesamum seeds from Türkiye (Salmonella: from 20% to 30 %).Removal from Annex II and inclusion in Annex I for the following commodities:Peppers of the genus Piper, dried or crushed or ground fruit of thegenus Capsicum or of the genus Pimenta from India (ethylene oxide – frequency of checks staying at 20%);Calcium carbonatefrom India (ethylene oxide – frequency of checks staying at 30%).Decrease in the frequency of identity and physical checks laid down in Annex II for: Black pepper (Piper nigrum) from Brazil (Salmonella: from 50% to 30 %);Mandarins (including tangerines and satsumas), clementines, wilkings and similar citrus hybrids from Türkiye (pesticide residues from: 20% to 10%);Oranges from Türkiye (pesticide residues from: 30% to 20%).Increase in the frequency of identity and physical checks laid down in Annex II for the following commodities:Pistachios, mixtures and products produced from pistachios originating from Türkiye, (aflatoxins: from 30% to 50 %);Pistachios, mixtures and products produced from pistachios originating from the United States and dispatched to the Union from Türkiye (aflatoxins: from 30% to 50 %). Delisting from Annex I (and thus, from the Regulation) of the following commodities:Rice from India (aflatoxins and Ochratoxin A (rice remains listed for pesticide residues));Nutmeg (Myristica fragrans) from India (aflatoxins);Vanilla from India (ethylene oxide);Cloves (whole fruit, cloves and stems) from India (ethylene oxide);Turnips (Brassica rapa ssp. rapa) from Lebanon (Rhodamine B);Mixtures of food additives containing locust bean gum from Malaysia (ethylene oxide);Grapefruits from Türkiye (pesticide residues);Mixtures of food additives containing locust bean gum from Türkiye (ethylene oxide);Okra from India (ethylene oxide (okra remains listed for pesticide residues)).</t>
  </si>
  <si>
    <t>Maximum residue limits (MRLs)</t>
  </si>
  <si>
    <r>
      <rPr>
        <sz val="11"/>
        <rFont val="Calibri"/>
      </rPr>
      <t>https://members.wto.org/crnattachments/2026/SPS/EEC/26_00594_00_f.pdf
https://members.wto.org/crnattachments/2026/SPS/EEC/26_00594_00_s.pdf
https://members.wto.org/crnattachments/2026/SPS/EEC/26_00594_00_e.pdf</t>
    </r>
  </si>
  <si>
    <t>DEAS 425-2:2021, Skin powders — Specification — Part 2: Baby powder, Second Edition</t>
  </si>
  <si>
    <t>The aim of this addendum is to update WTO Members that the Draft East African Standard, DEAS 425-2:2021, Skin powders — Specification — Part 2: Baby powder, Second Edition, notified G/TBT/N/BDI/197, G/TBT/N/KEN/1188, G/TBT/N/RWA/588, G/TBT/N/TZA/685, G/TBT/N/UGA/1527, was adopted by Tanzania on  31 October 2025 as a TZS 840-2:2025/EAS 425-2:2021, Skin powders — Specification — Part 2: Baby powder, Second Edition</t>
  </si>
  <si>
    <t>Baby powder</t>
  </si>
  <si>
    <t>330491 - Make-up or skin care powders, incl. baby powders, whether or not compressed (excl. medicaments); 330491 - Make-up or skin care powders, incl. baby powders, whether or not compressed (excl. medicaments)</t>
  </si>
  <si>
    <t>71.100.70 - Cosmetics. Toiletries; 71.100.70 - Cosmetics. Toiletries</t>
  </si>
  <si>
    <t>Draft of "Quarantine Requirements for the Importation of US processing potatoes"</t>
  </si>
  <si>
    <t>Item 12 of notification G/SPS/N/TPKM/657 of 21 January 2026 should read:12. Final date for comments: [ ] Sixty days from the date of circulation of the notification and/or (dd/mm/yy): 4 February 2026</t>
  </si>
  <si>
    <t>Bovine Spongiform Encephalopathy (BSE); Plant health; Territory protection; Territory protection; Plant health</t>
  </si>
  <si>
    <t>National Standard of the P.R.C., Specification for performance inspection of composite medium bulk containers for dangerous goods</t>
  </si>
  <si>
    <t>This document specifies the terms and definitions, requirements, tests and inspection rules for composite intermediate bulk containers for dangerous goods._x000D_
This document applies to the performance inspection of composite intermediate bulk containers for dangerous goods.</t>
  </si>
  <si>
    <t>Composite IBCs (HS code(s): 392510); (ICS code(s): 13.300)</t>
  </si>
  <si>
    <t>392510 - Reservoirs, tanks, vats and similar containers, of plastics, with a capacity of &gt; 300 l</t>
  </si>
  <si>
    <r>
      <rPr>
        <sz val="11"/>
        <rFont val="Calibri"/>
      </rPr>
      <t>https://members.wto.org/crnattachments/2026/TBT/CHN/26_00530_00_x.pdf</t>
    </r>
  </si>
  <si>
    <t>The proposed maximum residue limits (MRLs) for Thifluzamide notified in G/SPS/N/JPN/1341 (dated 19 May 2025) were adopted and published on 18 September 2025.The specified MRLs are available as below:</t>
  </si>
  <si>
    <t>Meat and edible meat offal (HS codes: 02.01, 02.02, 02.03, 02.04, 02.05, 02.06, 02.07, 02.08 and 02.09)Aquatic animals and crustaceans, molluscs and other aquatic invertebrates (HS codes: 03.02, 03.03, 03.04, 03.06, 03.07 and 03.08)Dairy produce and birds' eggs (HS codes: 04.01, 04.07 and 04.08)Animal originated products (HS code: 05.04)Edible vegetables and certain roots and tubers (HS codes: 07.01, 07.09 and 07.10)Mate (HS code: 09.03)Cereals (HS code: 10.06)Oil seeds and oleaginous fruits, miscellaneous grains, seeds and fruit (HS codes: 12.01 and 12.12)Animal fats and oils (HS codes: 15.01, 15.02 and 15.06)</t>
  </si>
  <si>
    <t>0201 - Meat of bovine animals, fresh or chilled; 0203 - Meat of swine, fresh, chilled or frozen; 1502 - Fats of bovine animals, sheep or goats (excl. oil and oleostearin); 1501 - Pig fat, incl. lard, and poultry fat, rendered or otherwise extracted (excl. lard stearin and lard oil);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1201 - Soya beans, whether or not broken; 1006 - Rice; 0903 - Maté.; 0710 - Vegetables, uncooked or cooked by steaming or boiling in water, frozen;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0701 - Potatoes, fresh or chilled; 0504 - Guts, bladders and stomachs of animals (other than fish), whole and pieces thereof, fresh, chilled, frozen, salted, in brine, dried or smoked.; 0408 - Birds' eggs, not in shell, and egg yolks, fresh, dried, cooked by steaming or by boiling in water, moulded, frozen or otherwise preserved, whether or not containing added sugar or other sweetening matter; 0407 - Birds' eggs, in shell, fresh, preserved or cooked; 0401 - Milk and cream, not concentrated nor containing added sugar or other sweetening matter; 0308 - Aquatic invertebrates other than crustaceans and molluscs, live, fresh, chilled, frozen, dried, salted or in brine, even smoked; 0307 - Molluscs, fit for human consumption, even smoked, whether in shell or not, live, fresh, chilled, frozen, dried, salted or in brine; 0306 - Crustaceans, whether in shell or not, live, fresh, chilled, frozen, dried, salted or in brine, even smoked, incl. crustaceans in shell cooked by steaming or by boiling in water; 0304 - Fish fillets and other fish meat, whether or not minced, fresh, chilled or frozen; 0303 - Frozen fish (excl. fish fillets and other fish meat of heading 0304); 0302 - Fish, fresh or chilled (excl. fish fillets and other fish meat of heading 0304); 0209 - Pig fat, free of lean meat, and poultry fat, not rendered or otherwise extracted, fresh, chilled, frozen, salted, in brine, dried or smoked; 0208 - Meat and edible offal of rabbits, hares, pigeons and other animals, fresh, chilled or frozen (excl. of bovine animals, swine, sheep, goats, horses, asses, mules, hinnies, poultry "fowls of the species Gallus domesticus", ducks, geese, turkeys and guinea fowls); 0207 - Meat and edible offal of fowls of the species Gallus domesticus, ducks, geese, turkeys and guinea fowls, fresh, chilled or frozen; 0206 - Edible offal of bovine animals, swine, sheep, goats, horses, asses, mules or hinnies, fresh, chilled or frozen; 0205 - Meat of horses, asses, mules or hinnies, fresh, chilled or frozen.; 0204 - Meat of sheep or goats, fresh, chilled or frozen; 0202 - Meat of bovine animals, frozen; 1506 - Other animal fats and oils and their fractions, whether or not refined, but not chemically modified.; 1506 - Other animal fats and oils and their fractions, whether or not refined, but not chemically modified.; 1502 - Fats of bovine animals, sheep or goats (excl. oil and oleostearin); 1501 - Pig fat, incl. lard, and poultry fat, rendered or otherwise extracted (excl. lard stearin and lard oil);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1201 - Soya beans, whether or not broken; 1006 - Rice; 0903 - Maté.; 0710 - Vegetables, uncooked or cooked by steaming or boiling in water, frozen;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0701 - Potatoes, fresh or chilled; 0504 - Guts, bladders and stomachs of animals (other than fish), whole and pieces thereof, fresh, chilled, frozen, salted, in brine, dried or smoked.; 0408 - Birds' eggs, not in shell, and egg yolks, fresh, dried, cooked by steaming or by boiling in water, moulded, frozen or otherwise preserved, whether or not containing added sugar or other sweetening matter; 0407 - Birds' eggs, in shell, fresh, preserved or cooked; 0203 - Meat of swine, fresh, chilled or frozen; 0401 - Milk and cream, not concentrated nor containing added sugar or other sweetening matter; 0307 - Molluscs, fit for human consumption, even smoked, whether in shell or not, live, fresh, chilled, frozen, dried, salted or in brine; 0306 - Crustaceans, whether in shell or not, live, fresh, chilled, frozen, dried, salted or in brine, even smoked, incl. crustaceans in shell cooked by steaming or by boiling in water; 0304 - Fish fillets and other fish meat, whether or not minced, fresh, chilled or frozen; 0303 - Frozen fish (excl. fish fillets and other fish meat of heading 0304); 0302 - Fish, fresh or chilled (excl. fish fillets and other fish meat of heading 0304); 0209 - Pig fat, free of lean meat, and poultry fat, not rendered or otherwise extracted, fresh, chilled, frozen, salted, in brine, dried or smoked; 0208 - Meat and edible offal of rabbits, hares, pigeons and other animals, fresh, chilled or frozen (excl. of bovine animals, swine, sheep, goats, horses, asses, mules, hinnies, poultry "fowls of the species Gallus domesticus", ducks, geese, turkeys and guinea fowls); 0207 - Meat and edible offal of fowls of the species Gallus domesticus, ducks, geese, turkeys and guinea fowls, fresh, chilled or frozen; 0206 - Edible offal of bovine animals, swine, sheep, goats, horses, asses, mules or hinnies, fresh, chilled or frozen; 0205 - Meat of horses, asses, mules or hinnies, fresh, chilled or frozen.; 0204 - Meat of sheep or goats, fresh, chilled or frozen; 0202 - Meat of bovine animals, frozen; 0308 - Aquatic invertebrates other than crustaceans and molluscs, live, fresh, chilled, frozen, dried, salted or in brine, even smoked; 0201 - Meat of bovine animals, fresh or chilled</t>
  </si>
  <si>
    <r>
      <rPr>
        <sz val="11"/>
        <rFont val="Calibri"/>
      </rPr>
      <t>https://members.wto.org/crnattachments/2026/SPS/JPN/26_00539_00_e.pdf</t>
    </r>
  </si>
  <si>
    <t>Authorisation of eucalyptus tincture from Eucalyptus globulus Labill. as a feed additive for certain animal species</t>
  </si>
  <si>
    <t>The proposal notified in G/SPS/N/EU/857 (23 May 2025) is now adopted by Commission Implementing Regulation (EU) 2026/178 of 23 January 2026 concerning the authorisation of eucalyptus tincture from Eucalyptus globulus Labill. as a feed additive for certain animal species (Text with EEA relevance).This Regulation shall enter into force on the twentieth day following that of its publication in the Official Journal of the European Union.</t>
  </si>
  <si>
    <r>
      <rPr>
        <sz val="11"/>
        <rFont val="Calibri"/>
      </rPr>
      <t>https://members.wto.org/crnattachments/2026/SPS/EEC/26_00543_00_e.pdf
https://members.wto.org/crnattachments/2026/SPS/EEC/26_00543_00_f.pdf
https://members.wto.org/crnattachments/2026/SPS/EEC/26_00543_00_s.pdf</t>
    </r>
  </si>
  <si>
    <t>DEAS 1102: 2022 Engine coolant — Specification </t>
  </si>
  <si>
    <t>The aim of this addendum is to update WTO Members that the Draft East African Standard, DEAS 1102: 2022 Engine coolant — Specification , notified  G/TBT/N/BDI/275, G/TBT/N/KEN/1309, G/TBT/N/RWA/709, G/TBT/N/TZA/828, G/TBT/N/UGA/1683, was adopted by Tanzania on  31 October 2025 as a TZS 2079:2025/EAS 1102: 2022 Engine coolant — Specification</t>
  </si>
  <si>
    <t>Anti-freezing preparations and prepared de-icing fluids. (HS code(s): 3820); Lubricants, industrial oils and related products (ICS code(s): 75.100)</t>
  </si>
  <si>
    <t>3820 - Anti-freezing preparations and prepared de-icing fluids (excl. prepared additives for mineral oils or other liquids used for the same purposes as mineral oils); 3820 - Anti-freezing preparations and prepared de-icing fluids (excl. prepared additives for mineral oils or other liquids used for the same purposes as mineral oils)</t>
  </si>
  <si>
    <t>DEAS 335:2021, Cologne, hydrosols and toilet waters — Specification, Third Edition</t>
  </si>
  <si>
    <t>The aim of this addendum is to update WTO Members that the Draft East African Standard, DEAS 335:2021, Cologne, hydrosols and toilet waters — Specification, Third Edition, notified  G/TBT/N/BDI/152, G/TBT/N/RWA/531, G/TBT/N/TZA/641, G/TBT/N/UGA/1441, was adopted by Tanzania on  31 October 2025 as a TZS 881:2025/EAS 335:2021, Cologne, hydrosols and toilet waters — Specification, Third Edition</t>
  </si>
  <si>
    <t>Cologne, Hydrosols, Toilet waters</t>
  </si>
  <si>
    <t>3303 - Perfumes and toilet waters (excl. aftershave lotions, personal deodorants and hair lotions); 3303 - Perfumes and toilet waters (excl. aftershave lotions, personal deodorants and hair lotions)</t>
  </si>
  <si>
    <t>National Standard of the P.R.C., Specification for performance inspection of metal intermediate bulk containers for dangerous goods</t>
  </si>
  <si>
    <t>This document specifies the terms and definitions, requirements, tests and inspection rules for metal intermediate bulk containers for dangerous goods._x000D_
This document applies to the performance inspection of metal intermediate bulk containers for dangerous goods.</t>
  </si>
  <si>
    <t>Metal IBCs (HS code(s): 7611); (ICS code(s): 13.300)</t>
  </si>
  <si>
    <t>7611 - Aluminium reservoirs, tanks, vats and similar containers, for any material (other than compressed or liquefied gas), of a capacity exceeding 300 l, whether or not lined or heat-insulated, but not fitted with mechanical or thermal equipment.</t>
  </si>
  <si>
    <r>
      <rPr>
        <sz val="11"/>
        <rFont val="Calibri"/>
      </rPr>
      <t>https://members.wto.org/crnattachments/2026/TBT/CHN/26_00531_00_x.pdf</t>
    </r>
  </si>
  <si>
    <t>National Standard of the P.R.C., Cashmere</t>
  </si>
  <si>
    <t>This document specifies the terms, definitions and product classifications of cashmere, specifies the quality requirements, inspection rules, packaging, marking, storage, transportation and re-inspection requirements for cashmere (including raw cashmere,  scoured cashmere and dehaired cashmere), and describes the test methods for cashmere._x000D_
This document applies to the quality appraisal in the production, trading, processing, quality supervision, and import and export inspection of cashmere.</t>
  </si>
  <si>
    <t>Raw cashmere, scoured cashmere, dehaired cashmere (HS code(s): 510219; 510539); (ICS code(s): 59.060.10)</t>
  </si>
  <si>
    <t>510219 - Fine animal hair, neither carded nor combed (excl. wool and hair of Kashmir "cashmere" goats); 510539 - Fine animal hair, carded or combed (excl. wool and hair of Kashmir "cashmere" goats)</t>
  </si>
  <si>
    <t>59.060.10 - Natural fibres</t>
  </si>
  <si>
    <t>May 1, 2027</t>
  </si>
  <si>
    <r>
      <rPr>
        <sz val="11"/>
        <rFont val="Calibri"/>
      </rPr>
      <t>https://members.wto.org/crnattachments/2026/TBT/CHN/26_00534_00_x.pdf</t>
    </r>
  </si>
  <si>
    <t>The proposed maximum residue limits (MRLs) for Isofetamid notified in G/SPS/N/JPN/1338 (dated 19 May 2025) were adopted and published on 18 September 2025.The specified MRLs are available as below:</t>
  </si>
  <si>
    <t>Meat and edible meat offal (HS codes: 02.01, 02.02, 02.03, 02.04, 02.05, 02.06, 02.07, 02.08 and 02.09)Dairy produce, birds' eggs and natural honey (HS codes: 04.01, 04.07, 04.08 and 04.09)Animal originated products (HS code: 05.04)Edible vegetables and certain roots and tubers (HS codes: 07.02, 07.03, 07.04, 07.05, 07.07, 07.08, 07.09, 07.10 and 07.13)Edible fruit and nuts, peel of citrus fruit (HS codes: 08.02, 08.04, 08.05, 08.06, 08.07, 08.08, 08.09, 08.10, 08.11 and 08.14)Mate and spices (HS codes: 09.03, 09.04, 09.05, 09.06, 09.07, 09.08, 09.09 and 09.10)Oil seeds and oleaginous fruits, miscellaneous grains, seeds and fruit (HS codes: 12.01, 12.04, 12.05 and 12.07)Animal or vegetable fats and oils (HS codes: 15.01, 15.02, 15.06 and 15.14)</t>
  </si>
  <si>
    <t>1514 - Rape, colza or mustard oil and fractions thereof, whether or not refined, but not chemically modified; 1502 - Fats of bovine animals, sheep or goats (excl. oil and oleostearin); 0705 - Lettuce "Lactuca sativa" and chicory "Cichorium spp.", fresh or chilled; 0707 - Cucumbers and gherkins, fresh or chilled.; 0708 - Leguminous vegetables, shelled or unshelled, fresh or chilled;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0710 - Vegetables, uncooked or cooked by steaming or boiling in water, frozen; 0713 - Dried leguminous vegetables, shelled, whether or not skinned or split; 0802 - Other nuts, fresh or dried, whether or not shelled or peeled (excl. coconuts, Brazil nuts and cashew nuts); 0804 - Dates, figs, pineapples, avocados, guavas, mangoes and mangosteens, fresh or dried; 0805 - Citrus fruit, fresh or dried; 0704 - Cabbages, cauliflowers, kohlrabi, kale and similar edible brassicas, fresh or chilled; 0806 - Grapes, fresh or dried; 0808 - Apples, pears and quinces, fresh; 0809 - Apricots, cherries, peaches incl. nectarines, plums and sloes, fresh;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0811 - Fruit and nuts, uncooked or cooked by steaming or boiling in water, frozen, whether or not containing added sugar or other sweetening matter; 0814 - Peel of citrus fruit or melons (including watermelons), fresh, frozen, dried or provisionally preserved in brine, in sulphur water or in other preservative solutions.; 0903 - Maté.; 0904 - Pepper of the genus Piper; dried or crushed or ground fruits of the genus Capsicum or of the genus Pimenta; 0905 - Vanilla; 0906 - Cinnamon and cinnamon-tree flowers; 0807 - Melons, incl. watermelons, and papaws "papayas", fresh; 0703 - Onions, shallots, garlic, leeks and other alliaceous vegetables, fresh or chilled; 0702 - Tomatoes, fresh or chilled.; 0504 - Guts, bladders and stomachs of animals (other than fish), whole and pieces thereof, fresh, chilled, frozen, salted, in brine, dried or smoked.; 1501 - Pig fat, incl. lard, and poultry fat, rendered or otherwise extracted (excl. lard stearin and lard oil); 1207 - Other oil seeds and oleaginous fruits, whether or not broken (excl. edible nuts, olives, soya beans, groundnuts, copra, linseed, rape or colza seeds and sunflower seeds); 1205 - Rape or colza seeds, whether or not broken; 1204 - Linseed, whether or not broken.; 1201 - Soya beans, whether or not broken;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0909 - Seeds of anis, badian, fennel, coriander, cumin or caraway; juniper berries; 0908 - Nutmeg, mace and cardamoms; 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0401 - Milk and cream, not concentrated nor containing added sugar or other sweetening matter; 0407 - Birds' eggs, in shell, fresh, preserved or cooked; 0408 - Birds' eggs, not in shell, and egg yolks, fresh, dried, cooked by steaming or by boiling in water, moulded, frozen or otherwise preserved, whether or not containing added sugar or other sweetening matter; 0409 - Natural honey.; 1506 - Other animal fats and oils and their fractions, whether or not refined, but not chemically modified.; 0907 - Cloves, whole fruit, cloves and stems; 1514 - Rape, colza or mustard oil and fractions thereof, whether or not refined, but not chemically modified; 0908 - Nutmeg, mace and cardamoms; 1506 - Other animal fats and oils and their fractions, whether or not refined, but not chemically modified.; 1502 - Fats of bovine animals, sheep or goats (excl. oil and oleostearin); 1501 - Pig fat, incl. lard, and poultry fat, rendered or otherwise extracted (excl. lard stearin and lard oil); 1207 - Other oil seeds and oleaginous fruits, whether or not broken (excl. edible nuts, olives, soya beans, groundnuts, copra, linseed, rape or colza seeds and sunflower seeds); 1205 - Rape or colza seeds, whether or not broken; 1204 - Linseed, whether or not broken.; 1201 - Soya beans, whether or not broken;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0909 - Seeds of anis, badian, fennel, coriander, cumin or caraway; juniper berries; 0907 - Cloves, whole fruit, cloves and stems; 0807 - Melons, incl. watermelons, and papaws "papayas", fresh; 0906 - Cinnamon and cinnamon-tree flowers; 0905 - Vanilla; 0904 - Pepper of the genus Piper; dried or crushed or ground fruits of the genus Capsicum or of the genus Pimenta; 0903 - Maté.; 0814 - Peel of citrus fruit or melons (including watermelons), fresh, frozen, dried or provisionally preserved in brine, in sulphur water or in other preservative solutions.; 0811 - Fruit and nuts, uncooked or cooked by steaming or boiling in water, frozen, whether or not containing added sugar or other sweetening matter;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0809 - Apricots, cherries, peaches incl. nectarines, plums and sloes, fresh; 0808 - Apples, pears and quinces, fresh; 0806 - Grapes, fresh or dried; 0203 - Meat of swine, fresh, chilled or frozen; 0805 - Citrus fruit, fresh or dried; 0204 - Meat of sheep or goats, fresh, chilled or frozen; 0202 - Meat of bovine animals, frozen; 0802 - Other nuts, fresh or dried, whether or not shelled or peeled (excl. coconuts, Brazil nuts and cashew nuts); 0713 - Dried leguminous vegetables, shelled, whether or not skinned or split; 0710 - Vegetables, uncooked or cooked by steaming or boiling in water, frozen;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0708 - Leguminous vegetables, shelled or unshelled, fresh or chilled; 0707 - Cucumbers and gherkins, fresh or chilled.; 0705 - Lettuce "Lactuca sativa" and chicory "Cichorium spp.", fresh or chilled; 0704 - Cabbages, cauliflowers, kohlrabi, kale and similar edible brassicas, fresh or chilled; 0703 - Onions, shallots, garlic, leeks and other alliaceous vegetables, fresh or chilled; 0702 - Tomatoes, fresh or chilled.; 0504 - Guts, bladders and stomachs of animals (other than fish), whole and pieces thereof, fresh, chilled, frozen, salted, in brine, dried or smoked.; 0409 - Natural honey.; 0408 - Birds' eggs, not in shell, and egg yolks, fresh, dried, cooked by steaming or by boiling in water, moulded, frozen or otherwise preserved, whether or not containing added sugar or other sweetening matter; 0407 - Birds' eggs, in shell, fresh, preserved or cooked; 0401 - Milk and cream, not concentrated nor containing added sugar or other sweetening matter; 0209 - Pig fat, free of lean meat, and poultry fat, not rendered or otherwise extracted, fresh, chilled, frozen, salted, in brine, dried or smoked; 0208 - Meat and edible offal of rabbits, hares, pigeons and other animals, fresh, chilled or frozen (excl. of bovine animals, swine, sheep, goats, horses, asses, mules, hinnies, poultry "fowls of the species Gallus domesticus", ducks, geese, turkeys and guinea fowls); 0207 - Meat and edible offal of fowls of the species Gallus domesticus, ducks, geese, turkeys and guinea fowls, fresh, chilled or frozen; 0206 - Edible offal of bovine animals, swine, sheep, goats, horses, asses, mules or hinnies, fresh, chilled or frozen; 0205 - Meat of horses, asses, mules or hinnies, fresh, chilled or frozen.; 0804 - Dates, figs, pineapples, avocados, guavas, mangoes and mangosteens, fresh or dried; 0201 - Meat of bovine animals, fresh or chilled</t>
  </si>
  <si>
    <r>
      <rPr>
        <sz val="11"/>
        <rFont val="Calibri"/>
      </rPr>
      <t>https://members.wto.org/crnattachments/2026/SPS/JPN/26_00536_00_e.pdf</t>
    </r>
  </si>
  <si>
    <t>The proposed maximum residue limits (MRLs) for Polyoxin complex notified in G/SPS/N/JPN/1339 (dated 19 May 2025) and G/SPS/N/JPN/1339/Add.1 (dated 23 July 2025) were adopted and published on 18 September 2025.The specified MRLs are available as below:</t>
  </si>
  <si>
    <t>Natural honey (HS code: 04.09)Edible vegetables and certain roots and tubers (HS codes: 07.02, 07.03, 07.04, 07.05, 07.06, 07.07, 07.09 and 07.10)Edible fruit and peel of citrus fruit (HS codes: 08.04, 08.05, 08.06, 08.07, 08.08, 08.09, 08.10,08.11 and 08.14)Mate and spices (HS codes: 09.03, 09.04, 09.05, 09.06, 09.07, 09.08, 09.09 and 09.10)Oil seeds and oleaginous fruits, miscellaneous grains, seeds and fruit (HS codes: 12.07 and 12.12)</t>
  </si>
  <si>
    <t>0409 - Natural honey.; 0703 - Onions, shallots, garlic, leeks and other alliaceous vegetables, fresh or chilled; 1207 - Other oil seeds and oleaginous fruits, whether or not broken (excl. edible nuts, olives, soya beans, groundnuts, copra, linseed, rape or colza seeds and sunflower seeds);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0909 - Seeds of anis, badian, fennel, coriander, cumin or caraway; juniper berries; 0908 - Nutmeg, mace and cardamoms; 0907 - Cloves, whole fruit, cloves and stems; 0906 - Cinnamon and cinnamon-tree flowers; 0905 - Vanilla; 0904 - Pepper of the genus Piper; dried or crushed or ground fruits of the genus Capsicum or of the genus Pimenta; 0903 - Maté.; 0814 - Peel of citrus fruit or melons (including watermelons), fresh, frozen, dried or provisionally preserved in brine, in sulphur water or in other preservative solutions.; 0811 - Fruit and nuts, uncooked or cooked by steaming or boiling in water, frozen, whether or not containing added sugar or other sweetening matter; 0702 - Tomatoes, fresh or chilled.;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0808 - Apples, pears and quinces, fresh; 0807 - Melons, incl. watermelons, and papaws "papayas", fresh; 0806 - Grapes, fresh or dried; 0805 - Citrus fruit, fresh or dried; 0804 - Dates, figs, pineapples, avocados, guavas, mangoes and mangosteens, fresh or dried; 0710 - Vegetables, uncooked or cooked by steaming or boiling in water, frozen;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0707 - Cucumbers and gherkins, fresh or chilled.; 0706 - Carrots, turnips, salad beetroot, salsify, celeriac, radishes and similar edible roots, fresh or chilled; 0705 - Lettuce "Lactuca sativa" and chicory "Cichorium spp.", fresh or chilled; 0704 - Cabbages, cauliflowers, kohlrabi, kale and similar edible brassicas, fresh or chilled; 0809 - Apricots, cherries, peaches incl. nectarines, plums and sloes, fresh;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1207 - Other oil seeds and oleaginous fruits, whether or not broken (excl. edible nuts, olives, soya beans, groundnuts, copra, linseed, rape or colza seeds and sunflower seeds);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0909 - Seeds of anis, badian, fennel, coriander, cumin or caraway; juniper berries; 0908 - Nutmeg, mace and cardamoms; 0907 - Cloves, whole fruit, cloves and stems; 0906 - Cinnamon and cinnamon-tree flowers; 0905 - Vanilla; 0904 - Pepper of the genus Piper; dried or crushed or ground fruits of the genus Capsicum or of the genus Pimenta; 0903 - Maté.; 0814 - Peel of citrus fruit or melons (including watermelons), fresh, frozen, dried or provisionally preserved in brine, in sulphur water or in other preservative solutions.; 0811 - Fruit and nuts, uncooked or cooked by steaming or boiling in water, frozen, whether or not containing added sugar or other sweetening matter; 0702 - Tomatoes, fresh or chilled.;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0808 - Apples, pears and quinces, fresh; 0807 - Melons, incl. watermelons, and papaws "papayas", fresh; 0806 - Grapes, fresh or dried; 0805 - Citrus fruit, fresh or dried; 0804 - Dates, figs, pineapples, avocados, guavas, mangoes and mangosteens, fresh or dried; 0710 - Vegetables, uncooked or cooked by steaming or boiling in water, frozen;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0707 - Cucumbers and gherkins, fresh or chilled.; 0706 - Carrots, turnips, salad beetroot, salsify, celeriac, radishes and similar edible roots, fresh or chilled; 0705 - Lettuce "Lactuca sativa" and chicory "Cichorium spp.", fresh or chilled; 0704 - Cabbages, cauliflowers, kohlrabi, kale and similar edible brassicas, fresh or chilled; 0809 - Apricots, cherries, peaches incl. nectarines, plums and sloes, fresh; 0703 - Onions, shallots, garlic, leeks and other alliaceous vegetables, fresh or chilled; 0409 - Natural honey.</t>
  </si>
  <si>
    <r>
      <rPr>
        <sz val="11"/>
        <rFont val="Calibri"/>
      </rPr>
      <t>https://members.wto.org/crnattachments/2026/SPS/JPN/26_00537_00_e.pdf</t>
    </r>
  </si>
  <si>
    <t>DEAS 1104: 2022 Heavy fuel oils — Specification</t>
  </si>
  <si>
    <t>The aim of this addendum is to update WTO Members that the Draft East African Standard, DEAS 1104: 2022 Heavy fuel oils — Specification notified  G/TBT/N/BDI/277, G/TBT/N/KEN/1311, G/TBT/N/RWA/711, G/TBT/N/TZA/830, G/TBT/N/UGA/1685, was adopted by Tanzania on  31 October 2025 as a TZS 673:2025/EAS 1104: 2022 Heavy fuel oils — Specification</t>
  </si>
  <si>
    <t>- Petroleum oils and oils obtained from bituminous minerals (other than crude) and preparations not elsewhere specified or included, containing by weight 70 % or more of petroleum oils or of oils obtained from bituminous minerals, these oils being the basic constituents of the preparations, containing biodiesel, other than waste oils (HS code(s): 271020); Lubricants, industrial oils and related products (ICS code(s): 75.100)</t>
  </si>
  <si>
    <t>271020 - Petroleum oils and oils obtained from bituminous minerals (other than crude) and preparations n.e.s. or included, containing by weight 70 % or more of petroleum oils or of oils obtained from bituminous minerals, these oils being the basic constituents of the preparations, containing biodiesel (excl. waste oils); 271020 - Petroleum oils and oils obtained from bituminous minerals (other than crude) and preparations n.e.s. or included, containing by weight 70 % or more of petroleum oils or of oils obtained from bituminous minerals, these oils being the basic constituents of the preparations, containing biodiesel (excl. waste oils)</t>
  </si>
  <si>
    <t>The proposed maximum residue limits (MRLs) for Fluxametamide notified in G/SPS/N/JPN/1337 (dated 19 May 2025) were adopted and published on 18 September 2025.The specified MRLs are available as below:</t>
  </si>
  <si>
    <t>Aquatic animals and crustaceans, molluscs and other aquatic invertebrates (HS codes: 03.02, 03.03, 03.04, 03.06, 03.07 and 03.08)Natural honey (HS code: 04.09)Edible vegetables and certain roots and tubers (HS codes: 07.02, 07.03, 07.04, 07.05, 07.06, 07.07, 07.08, 07.09, 07.10, 07.13 and 07.14)Edible fruit and nuts, peel of citrus fruit (HS codes: 08.04, 08.05, 08.06, 08.07, 08.09, 08.10, 08.11 and 08.14)Tea, mate and spices (HS codes: 09.02, 09.03, 09.04, 09.05, 09.06, 09.07, 09.08, 09.09 and 09.10)Cereals (HS code: 10.05)Oil seeds and oleaginous fruits, miscellaneous grains, seeds and fruit (HS codes: 12.01, 12.07 and 12.12)</t>
  </si>
  <si>
    <t>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1201 - Soya beans, whether or not broken; 0302 - Fish, fresh or chilled (excl. fish fillets and other fish meat of heading 0304); 0303 - Frozen fish (excl. fish fillets and other fish meat of heading 0304); 0304 - Fish fillets and other fish meat, whether or not minced, fresh, chilled or frozen; 0306 - Crustaceans, whether in shell or not, live, fresh, chilled, frozen, dried, salted or in brine, even smoked, incl. crustaceans in shell cooked by steaming or by boiling in water; 0307 - Molluscs, fit for human consumption, even smoked, whether in shell or not, live, fresh, chilled, frozen, dried, salted or in brine; 0308 - Aquatic invertebrates other than crustaceans and molluscs, live, fresh, chilled, frozen, dried, salted or in brine, even smoked; 0409 - Natural honey.; 0702 - Tomatoes, fresh or chilled.; 0703 - Onions, shallots, garlic, leeks and other alliaceous vegetables, fresh or chilled; 0704 - Cabbages, cauliflowers, kohlrabi, kale and similar edible brassicas, fresh or chilled; 0705 - Lettuce "Lactuca sativa" and chicory "Cichorium spp.", fresh or chilled; 0706 - Carrots, turnips, salad beetroot, salsify, celeriac, radishes and similar edible roots, fresh or chilled; 0707 - Cucumbers and gherkins, fresh or chilled.; 0708 - Leguminous vegetables, shelled or unshelled, fresh or chilled;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0713 - Dried leguminous vegetables, shelled, whether or not skinned or split; 1207 - Other oil seeds and oleaginous fruits, whether or not broken (excl. edible nuts, olives, soya beans, groundnuts, copra, linseed, rape or colza seeds and sunflower seeds); 0714 - Roots and tubers of manioc, arrowroot, salep, Jerusalem artichokes, sweet potatoes and similar roots and tubers with high starch or inulin content, fresh, chilled, frozen or dried, whether or not sliced or in the form of pellets; sago pith; 0805 - Citrus fruit, fresh or dried; 1005 - Maize or corn;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0909 - Seeds of anis, badian, fennel, coriander, cumin or caraway; juniper berries; 0908 - Nutmeg, mace and cardamoms; 0907 - Cloves, whole fruit, cloves and stems; 0906 - Cinnamon and cinnamon-tree flowers; 0905 - Vanilla; 0904 - Pepper of the genus Piper; dried or crushed or ground fruits of the genus Capsicum or of the genus Pimenta; 0903 - Maté.; 0902 - Tea, whether or not flavoured; 0814 - Peel of citrus fruit or melons (including watermelons), fresh, frozen, dried or provisionally preserved in brine, in sulphur water or in other preservative solutions.; 0811 - Fruit and nuts, uncooked or cooked by steaming or boiling in water, frozen, whether or not containing added sugar or other sweetening matter;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0809 - Apricots, cherries, peaches incl. nectarines, plums and sloes, fresh; 0807 - Melons, incl. watermelons, and papaws "papayas", fresh; 0804 - Dates, figs, pineapples, avocados, guavas, mangoes and mangosteens, fresh or dried; 0710 - Vegetables, uncooked or cooked by steaming or boiling in water, frozen;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1207 - Other oil seeds and oleaginous fruits, whether or not broken (excl. edible nuts, olives, soya beans, groundnuts, copra, linseed, rape or colza seeds and sunflower seeds); 1201 - Soya beans, whether or not broken; 1005 - Maize or corn;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0909 - Seeds of anis, badian, fennel, coriander, cumin or caraway; juniper berries; 0908 - Nutmeg, mace and cardamoms; 0907 - Cloves, whole fruit, cloves and stems; 0906 - Cinnamon and cinnamon-tree flowers; 0905 - Vanilla; 0904 - Pepper of the genus Piper; dried or crushed or ground fruits of the genus Capsicum or of the genus Pimenta; 0903 - Maté.; 0902 - Tea, whether or not flavoured; 0814 - Peel of citrus fruit or melons (including watermelons), fresh, frozen, dried or provisionally preserved in brine, in sulphur water or in other preservative solutions.; 0811 - Fruit and nuts, uncooked or cooked by steaming or boiling in water, frozen, whether or not containing added sugar or other sweetening matter;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0809 - Apricots, cherries, peaches incl. nectarines, plums and sloes, fresh; 0303 - Frozen fish (excl. fish fillets and other fish meat of heading 0304); 0807 - Melons, incl. watermelons, and papaws "papayas", fresh; 0804 - Dates, figs, pineapples, avocados, guavas, mangoes and mangosteens, fresh or dried; 0805 - Citrus fruit, fresh or dried; 0714 - Roots and tubers of manioc, arrowroot, salep, Jerusalem artichokes, sweet potatoes and similar roots and tubers with high starch or inulin content, fresh, chilled, frozen or dried, whether or not sliced or in the form of pellets; sago pith; 0713 - Dried leguminous vegetables, shelled, whether or not skinned or split; 0710 - Vegetables, uncooked or cooked by steaming or boiling in water, frozen;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0708 - Leguminous vegetables, shelled or unshelled, fresh or chilled; 0707 - Cucumbers and gherkins, fresh or chilled.; 0304 - Fish fillets and other fish meat, whether or not minced, fresh, chilled or frozen; 0706 - Carrots, turnips, salad beetroot, salsify, celeriac, radishes and similar edible roots, fresh or chilled; 0704 - Cabbages, cauliflowers, kohlrabi, kale and similar edible brassicas, fresh or chilled; 0703 - Onions, shallots, garlic, leeks and other alliaceous vegetables, fresh or chilled; 0702 - Tomatoes, fresh or chilled.; 0409 - Natural honey.; 0308 - Aquatic invertebrates other than crustaceans and molluscs, live, fresh, chilled, frozen, dried, salted or in brine, even smoked; 0307 - Molluscs, fit for human consumption, even smoked, whether in shell or not, live, fresh, chilled, frozen, dried, salted or in brine; 0306 - Crustaceans, whether in shell or not, live, fresh, chilled, frozen, dried, salted or in brine, even smoked, incl. crustaceans in shell cooked by steaming or by boiling in water; 0705 - Lettuce "Lactuca sativa" and chicory "Cichorium spp.", fresh or chilled; 0302 - Fish, fresh or chilled (excl. fish fillets and other fish meat of heading 0304)</t>
  </si>
  <si>
    <r>
      <rPr>
        <sz val="11"/>
        <rFont val="Calibri"/>
      </rPr>
      <t>https://members.wto.org/crnattachments/2026/SPS/JPN/26_00535_00_e.pdf</t>
    </r>
  </si>
  <si>
    <t>Reflectorization of Rail Freight Rolling Stock; Codifying 
Existing Waivers&gt;</t>
  </si>
  <si>
    <t>This rule amends the standards for Reflectorization of Rail Freight Rolling Stock (Reflectorization Standards or Part 224) to codify waivers and remove the outdated implementation schedule. The changes are expected to enhance safety, promote innovation, clarify existing requirements, and reduce unnecessary paperwork burdens. The amendments are consistent with the mandate of the Infrastructure Investment and Jobs Act (IIJA), which requires the Federal Railroad Administration (FRA) to review and analyze certain longstanding waivers to determine whether incorporating the waivers into FRA's regulations is justified.This final rule is effective 27 January 2026.91 Federal Register (FR) 3375, 27 January 2026; Title 49 Code of Federal Regulations (CFR) Part 224_x000D_
https://www.govinfo.gov/content/pkg/FR-2026-01-27/html/2026-01549.htm_x000D_
https://www.govinfo.gov/content/pkg/FR-2026-01-27/pdf/2026-01549.pdf_x000D_
This final rule and the proposed rule notified as G/TBT/N/USA/1898 are identified by Docket Number FRA-2021-0080. The Docket Folder is available on Regulations.gov at https://www.regulations.gov/docket/FRA-2021-0080/document and provides access to primary documents as well as comments received. Documents are also accessible from Regulations.gov by searching the Docket Number.</t>
  </si>
  <si>
    <t>Reflectorization of rail freight rolling stock; Quality (ICS code(s): 03.120); Railway rolling stock (ICS code(s): 45.060)</t>
  </si>
  <si>
    <t>03.120 - Quality; 03.120 - Quality; 45.060 - Railway rolling stock; 45.060 - Railway rolling stock</t>
  </si>
  <si>
    <t>Protection of human health or safety (TBT); Protection of the environment (TBT); Cost saving and productivity enhancement (TBT)</t>
  </si>
  <si>
    <r>
      <rPr>
        <sz val="11"/>
        <rFont val="Calibri"/>
      </rPr>
      <t>https://members.wto.org/crnattachments/2026/TBT/USA/final_measure/26_00557_00_e.pdf</t>
    </r>
  </si>
  <si>
    <t>National Standard of the P.R.C., Safety code for inspection of packaging of dangerous goods for calcium caride</t>
  </si>
  <si>
    <t>This document specifies the terms and definitions, performance inspection, and application appraisal of the inspection safety specifications for steel drums used in the packaging of dangerous goods calcium carbide._x000D_
This document applies to the inspection of steel drums used in the packaging of dangerous goods calcium carbide._x000D_
The performance inspection of other types of packaging for dangerous goods calcium carbide may also refer to the provisions of this document.</t>
  </si>
  <si>
    <t>Calcium caride packaging (HS code(s): 481920; 731021); (ICS code(s): 13.300)</t>
  </si>
  <si>
    <t>481920 - Folding cartons, boxes and cases, of non-corrugated paper or paperboard; 731021 - Cans of iron or steel, of a capacity of &lt; 50 l, which are to be closed by soldering or crimping (excl. containers for compressed or liquefied gas)</t>
  </si>
  <si>
    <r>
      <rPr>
        <sz val="11"/>
        <rFont val="Calibri"/>
      </rPr>
      <t>https://members.wto.org/crnattachments/2026/TBT/CHN/26_00532_00_x.pdf</t>
    </r>
  </si>
  <si>
    <t>Propuesta de requisitos fitosanitarios para la importación a México de semilla de chile (Capsicum annuum) para siembra, de origen y procedencia de Portugal (Draft phytosanitary requirements for the importation into Mexico of chilli pepper (Capsicum annuum) seeds for sowing, originating in and coming from Portugal)</t>
  </si>
  <si>
    <t>The notified draft phytosanitary requirements for the importation into Mexico of chilli pepper (Capsicum annuum) seeds for sowing, originating in and coming from Portugal, were determined by SENASICA, pursuant to the Agreement on the Application of Sanitary and Phytosanitary Measures.</t>
  </si>
  <si>
    <t>Chilli pepper (Capsicum annuum) seeds for sowing</t>
  </si>
  <si>
    <t>Food safety (SPS); Protect humans from animal/plant pest or disease (SPS); Protect territory from other damage from pests (SPS)</t>
  </si>
  <si>
    <r>
      <rPr>
        <sz val="11"/>
        <rFont val="Calibri"/>
      </rPr>
      <t>https://members.wto.org/crnattachments/2026/SPS/MEX/26_00510_00_s.pdf
https://www.gob.mx/senasica/documentos/consulta-publica-de-requisitos-fitosanitarios</t>
    </r>
  </si>
  <si>
    <t>G/SPS/N/MEX/461- 2 -</t>
  </si>
  <si>
    <t>Maximum residue levels for benfluralin, benthiavalicarb and penflufen in or on certain products</t>
  </si>
  <si>
    <t>The proposal notified in G/SPS/N/EU/843 (25 March 2025) is now adopted by Commission Regulation (EU) 2026/147 of 22 January 2026 amending Annexes II and V to Regulation (EC) No 396/2005 of the European Parliament and of the Council as regards maximum residue levels for benfluralin, benthiavalicarb and penflufen in or on certain products (Text with EEA relevance).This Regulation shall enter into force on the twentieth day following that of its publication in the Official Journal of the European Union.</t>
  </si>
  <si>
    <t>Cereals (HS codes: 1001, 1002, 1003, 1004, 1005, 1006, 1007, 1008), foodstuffs of animal origin (HS Codes: 0201, 0202, 0203, 0204, 0205, 0206, 0207, 0208, 0209, 0210) and certain products of plant origin, including fruit and vegetables</t>
  </si>
  <si>
    <t>0201 - Meat of bovine animals, fresh or chilled; 0203 - Meat of swine, fresh, chilled or frozen; 1007 - Grain sorghum; 1006 - Rice; 1005 - Maize or corn; 1004 - Oats; 1003 - Barley; 1002 - Rye; 0202 - Meat of bovine animals, frozen; 1001 - Wheat and meslin; 0209 - Pig fat, free of lean meat, and poultry fat, not rendered or otherwise extracted, fresh, chilled, frozen, salted, in brine, dried or smoked; 0208 - Meat and edible offal of rabbits, hares, pigeons and other animals, fresh, chilled or frozen (excl. of bovine animals, swine, sheep, goats, horses, asses, mules, hinnies, poultry "fowls of the species Gallus domesticus", ducks, geese, turkeys and guinea fowls); 0207 - Meat and edible offal of fowls of the species Gallus domesticus, ducks, geese, turkeys and guinea fowls, fresh, chilled or frozen; 0206 - Edible offal of bovine animals, swine, sheep, goats, horses, asses, mules or hinnies, fresh, chilled or frozen; 0205 - Meat of horses, asses, mules or hinnies, fresh, chilled or frozen.; 0204 - Meat of sheep or goats, fresh, chilled or frozen; 0210 - Meat and edible offal, salted, in brine, dried or smoked; edible flours and meals of meat or meat offal; 1008 - Buckwheat, millet, canary seed and other cereals (excl. wheat and meslin, rye, barley, oats, maize, rice and grain sorghum); 1008 - Buckwheat, millet, canary seed and other cereals (excl. wheat and meslin, rye, barley, oats, maize, rice and grain sorghum); 1007 - Grain sorghum; 1006 - Rice; 1005 - Maize or corn; 1004 - Oats; 1003 - Barley; 1002 - Rye; 0202 - Meat of bovine animals, frozen; 1001 - Wheat and meslin; 0209 - Pig fat, free of lean meat, and poultry fat, not rendered or otherwise extracted, fresh, chilled, frozen, salted, in brine, dried or smoked; 0208 - Meat and edible offal of rabbits, hares, pigeons and other animals, fresh, chilled or frozen (excl. of bovine animals, swine, sheep, goats, horses, asses, mules, hinnies, poultry "fowls of the species Gallus domesticus", ducks, geese, turkeys and guinea fowls); 0207 - Meat and edible offal of fowls of the species Gallus domesticus, ducks, geese, turkeys and guinea fowls, fresh, chilled or frozen; 0206 - Edible offal of bovine animals, swine, sheep, goats, horses, asses, mules or hinnies, fresh, chilled or frozen; 0205 - Meat of horses, asses, mules or hinnies, fresh, chilled or frozen.; 0204 - Meat of sheep or goats, fresh, chilled or frozen; 0210 - Meat and edible offal, salted, in brine, dried or smoked; edible flours and meals of meat or meat offal; 0203 - Meat of swine, fresh, chilled or frozen; 0201 - Meat of bovine animals, fresh or chilled</t>
  </si>
  <si>
    <r>
      <rPr>
        <sz val="11"/>
        <rFont val="Calibri"/>
      </rPr>
      <t>https://members.wto.org/crnattachments/2026/SPS/EEC/26_00540_00_e.pdf
https://members.wto.org/crnattachments/2026/SPS/EEC/26_00540_00_f.pdf
https://members.wto.org/crnattachments/2026/SPS/EEC/26_00540_00_s.pdf</t>
    </r>
  </si>
  <si>
    <t>Order of the Ministry of Economy, Environment and Agriculture of Ukraine No. 814 "On Approval of Procedure for Certification of Wines/Flavored Wine Products with Geographical Indication" of 20 October 2025</t>
  </si>
  <si>
    <t>The Procedure for Certification of Wine/Flavored Wine Product with Geographical Indication (hereinafter referred to as "the Procedure") defines the mechanism for certification of wine and flavored wine products with a geographical indication (hereinafter referred to as "the wine/flavored wine product") and issuance of a certificate of compliance with the relevant specification (hereinafter referred to as "the certificate").In accordance with the Procedure, prior to placing the wine/flavored wine product on the market, the manufacturer shall conclude an agreement with an certification body listed in the Register of certification bodies in the field of geographical indications for wines and flavored wine products and undergo certification to confirm compliance of the product with the specification. Certification is carried out on a paid contractual basis.The Procedure for certifying wine/flavored wine products includes: submission of an application for certification in the form set out in Annex 1 to the Procedure; examination of the application and submitted documents by the certification body; conclusion of a certification agreement; approval of the certification control plan; conducting certification in accordance with the control plan; issuing a reasoned decision on issuance or refusal to issue the certificate; issuing the certificate (in case of a positive decision); suspension or withdrawal of the certificate, if necessary.The application for certification may be submitted by the manufacturer or their representative to the certification body in person, by mail, or electronically.The control plan includes the frequency, duration, objects, methods and means used in the certification process. The objects of certification are the activities of the wine/flavored wine product manufacturer, the geographical location of production, the raw materials used for production, the composition of the wine/flavored wine product, the production methods, the physical, chemical and organoleptic characteristics of the wine/flavored wine product, the and any special qualities or other characteristics of the wine/flavored wine product (if applicable).The validity period of the certificate is determined by the certification body, taking into account the requirements of the specification, but it cannot be less than 24 months.The means used in the certification process are determined by the certification body taking into account DSTU EN ISO/IEC 17065:2019 Conformity assessment. Requirements for bodies certifying products, processes and services.</t>
  </si>
  <si>
    <t>Wines and flavored wine products</t>
  </si>
  <si>
    <r>
      <rPr>
        <sz val="11"/>
        <rFont val="Calibri"/>
      </rPr>
      <t>https://members.wto.org/crnattachments/2026/TBT/UKR/26_00523_00_x.pdf</t>
    </r>
  </si>
  <si>
    <t>Laws of Ukraine “On Grapes, Wine and Viticulture Products”; "On Legal Protection of Geographical Indications"</t>
  </si>
  <si>
    <t>National Standard of the P.R.C., Specification for performance inspection of wooden medium bulk containers for dangerous goods</t>
  </si>
  <si>
    <t>This document specifies the terms and definitions, requirements, tests and inspection rules for wooden intermediate bulk containers for dangerous goods._x000D_
This document applies to the performance inspection of wooden intermediate bulk containers for dangerous goods.</t>
  </si>
  <si>
    <t>Wooden IBCs (HS code(s): 7611); (ICS code(s): 13.300)</t>
  </si>
  <si>
    <r>
      <rPr>
        <sz val="11"/>
        <rFont val="Calibri"/>
      </rPr>
      <t>https://members.wto.org/crnattachments/2026/TBT/CHN/26_00529_00_x.pdf</t>
    </r>
  </si>
  <si>
    <t>The proposed maximum residue limits (MRLs) for Pyraziflumid notified in G/SPS/N/JPN/1340 (dated 19 May 2025) were adopted and published on 18 September 2025.The specified MRLs are available as below:</t>
  </si>
  <si>
    <t>Meat and edible meat offal (HS codes: 02.01, 02.02, 02.03, 02.04, 02.05, 02.06, 02.07, 02.08 and 02.09)Dairy produce, birds' eggs and natural honey (HS codes: 04.01, 04.07, 04.08 and 04.09)Animal originated products (HS code: 05.04)Edible vegetables and certain roots and tubers (HS codes: 07.02, 07.03, 07.04, 07.05, 07.06, 07.07, 07.08, 07.09, 07.10 and 07.13)Edible fruit and peel of citrus fruit (HS codes: 08.05, 08.06, 08.07, 08.08, 08.09, 08.10, 08.11 and 08.14)Mate and spices (HS codes: 09.03, 09.04, 09.05, 09.06, 09.07, 09.08, 09.09 and 09.10)Oil seeds and oleaginous fruits, miscellaneous grains, seeds and fruit (HS codes: 12.01 and 12.07)Animal fats and oils (HS codes: 15.01, 15.02 and 15.06)</t>
  </si>
  <si>
    <t>0201 - Meat of bovine animals, fresh or chilled; 0203 - Meat of swine, fresh, chilled or frozen; 0807 - Melons, incl. watermelons, and papaws "papayas", fresh; 0808 - Apples, pears and quinces, fresh; 0809 - Apricots, cherries, peaches incl. nectarines, plums and sloes, fresh;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0811 - Fruit and nuts, uncooked or cooked by steaming or boiling in water, frozen, whether or not containing added sugar or other sweetening matter; 0814 - Peel of citrus fruit or melons (including watermelons), fresh, frozen, dried or provisionally preserved in brine, in sulphur water or in other preservative solutions.; 0903 - Maté.; 0904 - Pepper of the genus Piper; dried or crushed or ground fruits of the genus Capsicum or of the genus Pimenta; 0806 - Grapes, fresh or dried; 0905 - Vanilla; 0907 - Cloves, whole fruit, cloves and stems; 0908 - Nutmeg, mace and cardamoms; 0909 - Seeds of anis, badian, fennel, coriander, cumin or caraway; juniper berries;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1201 - Soya beans, whether or not broken; 1207 - Other oil seeds and oleaginous fruits, whether or not broken (excl. edible nuts, olives, soya beans, groundnuts, copra, linseed, rape or colza seeds and sunflower seeds); 1501 - Pig fat, incl. lard, and poultry fat, rendered or otherwise extracted (excl. lard stearin and lard oil); 1502 - Fats of bovine animals, sheep or goats (excl. oil and oleostearin); 0906 - Cinnamon and cinnamon-tree flowers; 0805 - Citrus fruit, fresh or dried; 0713 - Dried leguminous vegetables, shelled, whether or not skinned or split; 0710 - Vegetables, uncooked or cooked by steaming or boiling in water,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0401 - Milk and cream, not concentrated nor containing added sugar or other sweetening matter; 0407 - Birds' eggs, in shell, fresh, preserved or cooked; 0408 - Birds' eggs, not in shell, and egg yolks, fresh, dried, cooked by steaming or by boiling in water, moulded, frozen or otherwise preserved, whether or not containing added sugar or other sweetening matter; 0409 - Natural honey.; 0504 - Guts, bladders and stomachs of animals (other than fish), whole and pieces thereof, fresh, chilled, frozen, salted, in brine, dried or smoked.; 0702 - Tomatoes, fresh or chilled.; 0703 - Onions, shallots, garlic, leeks and other alliaceous vegetables, fresh or chilled; 0704 - Cabbages, cauliflowers, kohlrabi, kale and similar edible brassicas, fresh or chilled; 0705 - Lettuce "Lactuca sativa" and chicory "Cichorium spp.", fresh or chilled; 0706 - Carrots, turnips, salad beetroot, salsify, celeriac, radishes and similar edible roots, fresh or chilled; 0707 - Cucumbers and gherkins, fresh or chilled.; 0708 - Leguminous vegetables, shelled or unshelled, fresh or chilled;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0202 - Meat of bovine animals, frozen; 1506 - Other animal fats and oils and their fractions, whether or not refined, but not chemically modified.; 1506 - Other animal fats and oils and their fractions, whether or not refined, but not chemically modified.; 0906 - Cinnamon and cinnamon-tree flowers; 1502 - Fats of bovine animals, sheep or goats (excl. oil and oleostearin); 1501 - Pig fat, incl. lard, and poultry fat, rendered or otherwise extracted (excl. lard stearin and lard oil); 1207 - Other oil seeds and oleaginous fruits, whether or not broken (excl. edible nuts, olives, soya beans, groundnuts, copra, linseed, rape or colza seeds and sunflower seeds); 1201 - Soya beans, whether or not broken;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0909 - Seeds of anis, badian, fennel, coriander, cumin or caraway; juniper berries; 0908 - Nutmeg, mace and cardamoms; 0907 - Cloves, whole fruit, cloves and stems; 0905 - Vanilla; 0806 - Grapes, fresh or dried; 0904 - Pepper of the genus Piper; dried or crushed or ground fruits of the genus Capsicum or of the genus Pimenta; 0903 - Maté.; 0814 - Peel of citrus fruit or melons (including watermelons), fresh, frozen, dried or provisionally preserved in brine, in sulphur water or in other preservative solutions.; 0811 - Fruit and nuts, uncooked or cooked by steaming or boiling in water, frozen, whether or not containing added sugar or other sweetening matter;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0809 - Apricots, cherries, peaches incl. nectarines, plums and sloes, fresh; 0808 - Apples, pears and quinces, fresh; 0807 - Melons, incl. watermelons, and papaws "papayas", fresh; 0805 - Citrus fruit, fresh or dried; 0203 - Meat of swine, fresh, chilled or frozen; 0713 - Dried leguminous vegetables, shelled, whether or not skinned or split; 0204 - Meat of sheep or goats, fresh, chilled or frozen; 0202 - Meat of bovine animals, frozen;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0708 - Leguminous vegetables, shelled or unshelled, fresh or chilled; 0707 - Cucumbers and gherkins, fresh or chilled.; 0706 - Carrots, turnips, salad beetroot, salsify, celeriac, radishes and similar edible roots, fresh or chilled; 0705 - Lettuce "Lactuca sativa" and chicory "Cichorium spp.", fresh or chilled; 0704 - Cabbages, cauliflowers, kohlrabi, kale and similar edible brassicas, fresh or chilled; 0703 - Onions, shallots, garlic, leeks and other alliaceous vegetables, fresh or chilled; 0702 - Tomatoes, fresh or chilled.; 0504 - Guts, bladders and stomachs of animals (other than fish), whole and pieces thereof, fresh, chilled, frozen, salted, in brine, dried or smoked.; 0409 - Natural honey.; 0408 - Birds' eggs, not in shell, and egg yolks, fresh, dried, cooked by steaming or by boiling in water, moulded, frozen or otherwise preserved, whether or not containing added sugar or other sweetening matter; 0407 - Birds' eggs, in shell, fresh, preserved or cooked; 0401 - Milk and cream, not concentrated nor containing added sugar or other sweetening matter; 0209 - Pig fat, free of lean meat, and poultry fat, not rendered or otherwise extracted, fresh, chilled, frozen, salted, in brine, dried or smoked; 0208 - Meat and edible offal of rabbits, hares, pigeons and other animals, fresh, chilled or frozen (excl. of bovine animals, swine, sheep, goats, horses, asses, mules, hinnies, poultry "fowls of the species Gallus domesticus", ducks, geese, turkeys and guinea fowls); 0207 - Meat and edible offal of fowls of the species Gallus domesticus, ducks, geese, turkeys and guinea fowls, fresh, chilled or frozen; 0206 - Edible offal of bovine animals, swine, sheep, goats, horses, asses, mules or hinnies, fresh, chilled or frozen; 0205 - Meat of horses, asses, mules or hinnies, fresh, chilled or frozen.; 0710 - Vegetables, uncooked or cooked by steaming or boiling in water, frozen; 0201 - Meat of bovine animals, fresh or chilled</t>
  </si>
  <si>
    <r>
      <rPr>
        <sz val="11"/>
        <rFont val="Calibri"/>
      </rPr>
      <t>https://members.wto.org/crnattachments/2026/SPS/JPN/26_00538_00_e.pdf</t>
    </r>
  </si>
  <si>
    <t>The proposed maximum residue limits (MRLs) for Norgestomet notified in G/SPS/N/JPN/1344 (dated 19 May 2025) were adopted and published on 18 September 2025.The specified MRLs are available as below:</t>
  </si>
  <si>
    <t>Meat and edible meat offal (HS codes: 02.01, 02.02, 02.03, 02.04, 02.05, 02.06, 02.07, 02.08 and 02.09)Aquatic animals and crustaceans, molluscs and other aquatic invertebrates (HS codes: 03.02, 03.03, 03.04, 03.06, 03.07 and 03.08)Dairy produce, birds' eggs and natural honey (HS codes: 04.01, 04.07, 04.08 and 04.09)Animal originated products (HS code: 05.04)Animal fats and oils (HS codes: 15.01, 15.02 and 15.06)</t>
  </si>
  <si>
    <t>0201 - Meat of bovine animals, fresh or chilled; 0203 - Meat of swine, fresh, chilled or frozen; 1502 - Fats of bovine animals, sheep or goats (excl. oil and oleostearin); 1501 - Pig fat, incl. lard, and poultry fat, rendered or otherwise extracted (excl. lard stearin and lard oil); 0504 - Guts, bladders and stomachs of animals (other than fish), whole and pieces thereof, fresh, chilled, frozen, salted, in brine, dried or smoked.; 0409 - Natural honey.; 0408 - Birds' eggs, not in shell, and egg yolks, fresh, dried, cooked by steaming or by boiling in water, moulded, frozen or otherwise preserved, whether or not containing added sugar or other sweetening matter; 0407 - Birds' eggs, in shell, fresh, preserved or cooked; 0401 - Milk and cream, not concentrated nor containing added sugar or other sweetening matter; 0308 - Aquatic invertebrates other than crustaceans and molluscs, live, fresh, chilled, frozen, dried, salted or in brine, even smoked; 0307 - Molluscs, fit for human consumption, even smoked, whether in shell or not, live, fresh, chilled, frozen, dried, salted or in brine; 0306 - Crustaceans, whether in shell or not, live, fresh, chilled, frozen, dried, salted or in brine, even smoked, incl. crustaceans in shell cooked by steaming or by boiling in water; 0304 - Fish fillets and other fish meat, whether or not minced, fresh, chilled or frozen; 0303 - Frozen fish (excl. fish fillets and other fish meat of heading 0304); 0302 - Fish, fresh or chilled (excl. fish fillets and other fish meat of heading 0304); 0209 - Pig fat, free of lean meat, and poultry fat, not rendered or otherwise extracted, fresh, chilled, frozen, salted, in brine, dried or smoked; 0208 - Meat and edible offal of rabbits, hares, pigeons and other animals, fresh, chilled or frozen (excl. of bovine animals, swine, sheep, goats, horses, asses, mules, hinnies, poultry "fowls of the species Gallus domesticus", ducks, geese, turkeys and guinea fowls); 0207 - Meat and edible offal of fowls of the species Gallus domesticus, ducks, geese, turkeys and guinea fowls, fresh, chilled or frozen; 0206 - Edible offal of bovine animals, swine, sheep, goats, horses, asses, mules or hinnies, fresh, chilled or frozen; 0205 - Meat of horses, asses, mules or hinnies, fresh, chilled or frozen.; 0204 - Meat of sheep or goats, fresh, chilled or frozen; 0202 - Meat of bovine animals, frozen; 1506 - Other animal fats and oils and their fractions, whether or not refined, but not chemically modified.; 1506 - Other animal fats and oils and their fractions, whether or not refined, but not chemically modified.; 1502 - Fats of bovine animals, sheep or goats (excl. oil and oleostearin); 1501 - Pig fat, incl. lard, and poultry fat, rendered or otherwise extracted (excl. lard stearin and lard oil); 0504 - Guts, bladders and stomachs of animals (other than fish), whole and pieces thereof, fresh, chilled, frozen, salted, in brine, dried or smoked.; 0409 - Natural honey.; 0408 - Birds' eggs, not in shell, and egg yolks, fresh, dried, cooked by steaming or by boiling in water, moulded, frozen or otherwise preserved, whether or not containing added sugar or other sweetening matter; 0407 - Birds' eggs, in shell, fresh, preserved or cooked; 0401 - Milk and cream, not concentrated nor containing added sugar or other sweetening matter; 0308 - Aquatic invertebrates other than crustaceans and molluscs, live, fresh, chilled, frozen, dried, salted or in brine, even smoked; 0307 - Molluscs, fit for human consumption, even smoked, whether in shell or not, live, fresh, chilled, frozen, dried, salted or in brine; 0203 - Meat of swine, fresh, chilled or frozen; 0306 - Crustaceans, whether in shell or not, live, fresh, chilled, frozen, dried, salted or in brine, even smoked, incl. crustaceans in shell cooked by steaming or by boiling in water; 0303 - Frozen fish (excl. fish fillets and other fish meat of heading 0304); 0302 - Fish, fresh or chilled (excl. fish fillets and other fish meat of heading 0304); 0209 - Pig fat, free of lean meat, and poultry fat, not rendered or otherwise extracted, fresh, chilled, frozen, salted, in brine, dried or smoked; 0208 - Meat and edible offal of rabbits, hares, pigeons and other animals, fresh, chilled or frozen (excl. of bovine animals, swine, sheep, goats, horses, asses, mules, hinnies, poultry "fowls of the species Gallus domesticus", ducks, geese, turkeys and guinea fowls); 0207 - Meat and edible offal of fowls of the species Gallus domesticus, ducks, geese, turkeys and guinea fowls, fresh, chilled or frozen; 0206 - Edible offal of bovine animals, swine, sheep, goats, horses, asses, mules or hinnies, fresh, chilled or frozen; 0205 - Meat of horses, asses, mules or hinnies, fresh, chilled or frozen.; 0204 - Meat of sheep or goats, fresh, chilled or frozen; 0202 - Meat of bovine animals, frozen; 0304 - Fish fillets and other fish meat, whether or not minced, fresh, chilled or frozen; 0201 - Meat of bovine animals, fresh or chilled</t>
  </si>
  <si>
    <r>
      <rPr>
        <sz val="11"/>
        <rFont val="Calibri"/>
      </rPr>
      <t>https://members.wto.org/crnattachments/2026/SPS/JPN/26_00542_00_e.pdf</t>
    </r>
  </si>
  <si>
    <t>DEAS 339:2021, Hair creams, lotions and gels — Specification, Third Edition</t>
  </si>
  <si>
    <t>The aim of this addendum is to update WTO Members that the Draft East African Standard, DEAS 339:2021, Hair creams, lotions and gels — Specification, Third Edition, notified G/TBT/N/BDI/150, G/TBT/N/RWA/529, G/TBT/N/TZA/639, G/TBT/N/UGA/1439, was adopted by Tanzania on  31 October 2025 as a TZS 882:2025/EAS 339:2021, Hair creams, lotions and gels — Specification, Third Edition</t>
  </si>
  <si>
    <t>Hair creams, Hair lotions, Hair gels, hair conditioners, hair setting lotions</t>
  </si>
  <si>
    <t>330590 - Preparations for use on the hair (excl. shampoos, preparations for permanent waving or straightening and hair lacquers); 330590 - Preparations for use on the hair (excl. shampoos, preparations for permanent waving or straightening and hair lacquers)</t>
  </si>
  <si>
    <t>National Standard of the P.R.C., Specification for performance inspection of flexible intermediate bulk containers for dangerous goods</t>
  </si>
  <si>
    <t>This document specifies the terms and definitions, requirements, tests and inspection rules for flexible intermediate bulk containers for dangerous goods._x000D_
This document applies to the performance inspection of flexible intermediate bulk containers for dangerous goods.</t>
  </si>
  <si>
    <t>Flexible IBCs (HS code(s): 7611); (ICS code(s): 13.300)</t>
  </si>
  <si>
    <r>
      <rPr>
        <sz val="11"/>
        <rFont val="Calibri"/>
      </rPr>
      <t>https://members.wto.org/crnattachments/2026/TBT/CHN/26_00528_00_x.pdf</t>
    </r>
  </si>
  <si>
    <t>Trinidad and Tobago</t>
  </si>
  <si>
    <t>Energy labelling - Air conditioners - Compulsory requirements</t>
  </si>
  <si>
    <t>This document specifies the energy labelling requirements and the Minimum Energy Performance_x000D_
(MEPS) requirements for electric mains-operated air conditioners with a rated capacity of ≤ 12 kW for_x000D_
cooling, or heating (if the product has no cooling function) via the following parameters:_x000D_
— Energy efficiency ratio (EER);_x000D_
— Coefficient of performance (COP).</t>
  </si>
  <si>
    <t>Air conditioning machines designed to be fixed to a window, wall, ceiling or floor, self-contained or "split-system" (HS code(s): 841510)</t>
  </si>
  <si>
    <t>841510 - Air conditioning machines designed to be fixed to a window, wall, ceiling or floor, self-contained or "split-system"</t>
  </si>
  <si>
    <t>Consumer information, labelling (TBT); Protection of human health or safety (TBT); Protection of the environment (TBT); Quality requirements (TBT); Harmonization (TBT)</t>
  </si>
  <si>
    <r>
      <rPr>
        <sz val="11"/>
        <rFont val="Calibri"/>
      </rPr>
      <t>https://members.wto.org/crnattachments/2026/TBT/TTO/26_00552_00_e.pdf</t>
    </r>
  </si>
  <si>
    <t>Energy labelling - Refrigerating appliances - Compulsory requirements</t>
  </si>
  <si>
    <t>This standard establishes the minimum energy performance standards (MEPS), energy labelling_x000D_
requirements and associated test methods for electric mains-operated refrigerating appliances with a_x000D_
volume of more than 10 litres (0.35 cubic feet) and of less than or equal to 1500 litres (53 cubic feet )_x000D_
for use in Trinidad and Tobago._x000D_
This standard does not apply to the following refrigerating appliances:_x000D_
a) professional refrigerated storage cabinets and blast cabinets, with the exception of professional_x000D_
chest freezers;_x000D_
b) refrigerating appliances with a direct sales function;_x000D_
c) mobile refrigerating appliances; and_x000D_
d) appliances where the primary function is not the storage of foodstuffs through refrigeration.</t>
  </si>
  <si>
    <t>Refrigerators, freezers and other refrigerating or freezing equipment, electric or other; heat pumps; parts thereof (excl. air conditioning machines of heading 8415) (HS code(s): 8418)</t>
  </si>
  <si>
    <t>8418 - Refrigerators, freezers and other refrigerating or freezing equipment, electric or other; heat pumps; parts thereof (excl. air conditioning machines of heading 8415)</t>
  </si>
  <si>
    <t>Consumer information, labelling (TBT); Prevention of deceptive practices and consumer protection (TBT); Protection of human health or safety (TBT); Protection of the environment (TBT); Quality requirements (TBT); Harmonization (TBT)</t>
  </si>
  <si>
    <r>
      <rPr>
        <sz val="11"/>
        <rFont val="Calibri"/>
      </rPr>
      <t>https://members.wto.org/crnattachments/2026/TBT/TTO/26_00551_00_e.pdf</t>
    </r>
  </si>
  <si>
    <t>Propuesta de requisitos fitosanitarios para la importación a México de fruto fresco de granada (Punica granatum L.) para consumo, originario y procedente de Perú (Draft phytosanitary requirements for the importation into Mexico of fresh pomegranates (Punica granatum L.) for consumption, originating in and coming from Peru)</t>
  </si>
  <si>
    <t>The notified draft phytosanitary requirements governing the importation into Mexico of fresh pomegranates (Punica granatum L.) for consumption, originating in and coming from Peru, were determined by SENASICA, pursuant to the Agreement on the Application of Sanitary and Phytosanitary Measures.</t>
  </si>
  <si>
    <t>Fresh pomegranates (Punica granatum L.) for consumption</t>
  </si>
  <si>
    <r>
      <rPr>
        <sz val="11"/>
        <rFont val="Calibri"/>
      </rPr>
      <t>https://members.wto.org/crnattachments/2026/SPS/MEX/26_00512_00_s.pdf
https://www.gob.mx/senasica/documentos/consulta-publica-de-requisitos-fitosanitarios</t>
    </r>
  </si>
  <si>
    <t>G/SPS/N/MEX/462- 2 -</t>
  </si>
  <si>
    <t>Approval of American Society of Mechanical Engineers 
Unconditioned Code Cases</t>
  </si>
  <si>
    <t>The U.S. Nuclear Regulatory Commission (NRC) is confirming the effective date of 26 January 2026, for the direct final rule that was published in the Federal Register on 26 September 2025 (notified as G/TBT/N/USA/2241/Add.1). This direct final rule amended the regulations to incorporate by reference a regulatory guide that approved unconditioned code cases published by the American Society of Mechanical Engineers. This action allows nuclear power plant applicants and licensees to use the code cases as voluntary alternatives to engineering standards for nuclear power plant components.The effective date of 26 January 2026, for the direct final rule published 26 September 2025 (90 FR 46319), is confirmed. The incorporation by reference of certain material listed in the regulation is approved by the Director of the Federal Register as of 26 January 2026.91 Federal Register (FR) 3359, 27 January 2026; Title 10 Code of Federal Regulations (CFR) Part 50_x000D_
https://www.govinfo.gov/content/pkg/FR-2026-01-27/html/2026-01494.htm_x000D_
https://www.govinfo.gov/content/pkg/FR-2026-01-27/pdf/2026-01494.pdf_x000D_
This action and previous actions notified under the symbol G/TBT/N/USA/2241 are identified by Docket Number NRC-2024-0163. The Docket Folder is available on Regulations.gov at https://www.regulations.gov/docket/NRC-2024-0163/document and provides access to primary documents as well as comments received. Documents are also accessible from Regulations.gov by searching the Docket Number. </t>
  </si>
  <si>
    <t>Nuclear power plant engineering standards; Nuclear power plants. Safety (ICS code(s): 27.120.20)</t>
  </si>
  <si>
    <t>27.120.20 - Nuclear power plants. Safety; 27.120.20 - Nuclear power plants. Safety</t>
  </si>
  <si>
    <r>
      <rPr>
        <sz val="11"/>
        <rFont val="Calibri"/>
      </rPr>
      <t>https://members.wto.org/crnattachments/2026/TBT/USA/26_00556_00_e.pdf</t>
    </r>
  </si>
  <si>
    <t>Notice of Availability and Request for Comment: Revision to the 
Voluntary Standard for Gates and Enclosures</t>
  </si>
  <si>
    <t>The U.S. Consumer Product Safety Commission's (Commission or CPSC) mandatory rule, Safety Standard for Gates and Enclosures, incorporates by reference ASTM F1004-22, Standard Consumer Safety Specification for Expansion Gates and Expandable Enclosures. ASTM notified the Commission that it has revised this incorporated voluntary standard. CPSC seeks comment on whether the revision improves the safety of gates and enclosures.Comments must be received by 10 February 2026.91 Federal Register (FR) 3399, 27 January 2026; Title 16 Code of Federal Regulations (CFR) Part 1239_x000D_
https://www.govinfo.gov/content/pkg/FR-2026-01-27/html/2026-01497.htm_x000D_
https://www.govinfo.gov/content/pkg/FR-2026-01-27/pdf/2026-01497.pdfThis action and previous action notified under the symbol G/TBT/N/USA/1504 are identified by Docket Number CPSC-2019-0014. The Docket Folder is available on Regulations.gov at https://www.regulations.gov/docket/CPSC-2019-0014/document and provides access to primary and supporting documents as well as comments received. Documents are also accessible from Regulations.gov by searching the Docket Number. WTO Members and their stakeholders are asked to submit comments to the USA TBT Enquiry Point. Comments received by the USA TBT Enquiry Point from WTO Members and their stakeholders by 4pmEastern Time on 10 February 2026 will be shared with CPSC and will also be submitted to the Docket on Regulations.gov if received within the comment period.</t>
  </si>
  <si>
    <t>Gates and enclosures</t>
  </si>
  <si>
    <t>03.120 - Quality; 03.120 - Quality; 13.120 - Domestic safety; 13.120 - Domestic safety; 97.190 - Equipment for children; 97.190 - Equipment for children</t>
  </si>
  <si>
    <r>
      <rPr>
        <sz val="11"/>
        <rFont val="Calibri"/>
      </rPr>
      <t>https://members.wto.org/crnattachments/2026/TBT/USA/26_00555_00_e.pdf</t>
    </r>
  </si>
  <si>
    <t>Incorporation by Reference of Institute of Electrical and 
Electronics Engineers Standard 603-2018</t>
  </si>
  <si>
    <t xml:space="preserve">The U.S. Nuclear Regulatory Commission (NRC) plans to hold a public meeting to discuss the recently published proposed rule (notified as G/TBT/N/USA/2254) that proposes amending its regulations to incorporate by reference the Institute of Electrical and Electronics Engineers Standard (Std) 603-2018, ''IEEE Standard Criteria for Safety Systems for Nuclear Power Generating Stations,'' and the accompanying Draft Regulatory Guide (DG) DG-1251, Revision 1, ''Guidance for the Power, Instrumentation, and Control Portions of Safety Systems for Nuclear Power Plants.''The NRC plans to hold the public meeting on 3 February 2026, during the 60-day public comment period. See section II, Public Meeting, of this document for more information on the meeting. 91 Federal Register (FR) 3393, 27 January 2026; Title 10 Code of Federal Regulations (CFR) Part 50_x000D_
https://www.govinfo.gov/content/pkg/FR-2026-01-27/html/2026-01534.htm_x000D_
https://www.govinfo.gov/content/pkg/FR-2026-01-27/pdf/2026-01534.pdfThis public meeting notice and the proposed rule; draft guidance; request for comment notified as G/TBT/N/USA/2254 are identified by Docket Number NRC-2024-0045. The Docket Folder is available on Regulations.gov at https://www.regulations.gov/docket/NRC-2024-0045/document and provides access to primary and supporting documents as well as comments received. Documents are also accessible from Regulations.gov by searching the Docket Number. WTO Members and their stakeholders are asked to submit comments to the USA TBT Enquiry Point by or before 4pmEastern Time on 17 February 2026. Comments received by the USA TBT Enquiry Point from WTO Members and their stakeholders will be shared with NRC and will also be submitted to the Docket on Regulations.gov if received within the comment period. Comments received after this date will be considered if it is practical to do so, but the Commission is able to ensure consideration only for comments received before this date._x000D_
</t>
  </si>
  <si>
    <t>Environmental protection (ICS code(s): 13.020); Occupational safety. Industrial hygiene (ICS code(s): 13.100); Nuclear energy engineering (ICS code(s): 27.120)</t>
  </si>
  <si>
    <t>13.020 - Environmental protection; 13.100 - Occupational safety. Industrial hygiene; 27.120 - Nuclear energy engineering; 13.020 - Environmental protection; 13.100 - Occupational safety. Industrial hygiene; 27.120 - Nuclear energy engineering</t>
  </si>
  <si>
    <r>
      <rPr>
        <sz val="11"/>
        <rFont val="Calibri"/>
      </rPr>
      <t>https://members.wto.org/crnattachments/2026/TBT/USA/26_00558_00_e.pdf</t>
    </r>
  </si>
  <si>
    <t>Proposed Maximum Residue Limit: 1-Methylcyclopropene (PMRL2026-02)</t>
  </si>
  <si>
    <t>The objective of the notified document PMRL2026-02 is to consult on the listed maximum residue limits (MRLs) for 1-methylcyclopropene that have been proposed by Health Canada’s Pest Management Regulatory Agency (PMRA).MRL (ppm)1 Raw Agricultural Commodity (RAC) and/or Processed Commodity0.01           Avocados, bell peppers, broccoli, cantaloupes, cucumbers, peaches 1 ppm = parts per million</t>
  </si>
  <si>
    <t>Pesticide 1-methylcyclopropene in or on various commodities (ICS codes: 65.020, 65.100, 67.040, 67.080)  </t>
  </si>
  <si>
    <t>Currently, there are no Codex MRLs listed for 1-methylcyclopropene in or on any commodity according to the Codex Alimentarius Pesticide Index website.</t>
  </si>
  <si>
    <t>Consumer information, labelling (TBT); Consumer information, labelling (TBT); Consumer information, labelling (TBT); Prevention of deceptive practices and consumer protection (TBT); Prevention of deceptive practices and consumer protection (TBT); Prevention of deceptive practices and consumer protection (TBT); Protection of human health or safety (TBT); Protection of human health or safety (TBT); Protection of human health or safety (TBT); Protection of the environment (TBT); Protection of the environment (TBT); Protection of the environment (TBT); Quality requirements (TBT); Quality requirements (TBT); Quality requirements (TBT); Harmonization (TBT); Harmonization (TBT); Harmonization (TBT); Reducing trade barriers and facilitating trade (TBT); Reducing trade barriers and facilitating trade (TBT); Reducing trade barriers and facilitating trade (TBT)</t>
  </si>
  <si>
    <t>National Standard of the P.R.C., Specification for performance inspection of medium bulk containers made of fiberboard for dangerous goods</t>
  </si>
  <si>
    <t>This document specifies the terms and definitions, requirements, tests and inspection rules for fibreboard intermediate bulk containers for dangerous goods._x000D_
This document applies to the performance inspection of fibreboard intermediate bulk containers for dangerous goods.</t>
  </si>
  <si>
    <t>Fibreboard IBCs (HS code(s): 481910); (ICS code(s): 13.300)</t>
  </si>
  <si>
    <t>481910 - Cartons, boxes and cases, of corrugated paper or paperboard</t>
  </si>
  <si>
    <r>
      <rPr>
        <sz val="11"/>
        <rFont val="Calibri"/>
      </rPr>
      <t>https://members.wto.org/crnattachments/2026/TBT/CHN/26_00526_00_x.pdf</t>
    </r>
  </si>
  <si>
    <t>The proposed maximum residue limits (MRLs) for Dibutyl Succinate notified in G/SPS/N/JPN/1343 (dated 19 May 2025) were adopted and published on 18 September 2025.The specified MRLs are available as below:</t>
  </si>
  <si>
    <t>Meat and edible meat offal (HS codes: 02.03, 02.06, 02.07 and 02.09)Dairy produce and birds' eggs (HS codes: 04.01, 04.07 and 04.08)Animal originated products (HS code: 05.04)Animal fats and oils (HS code: 15.01)</t>
  </si>
  <si>
    <t>0203 - Meat of swine, fresh, chilled or frozen; 0207 - Meat and edible offal of fowls of the species Gallus domesticus, ducks, geese, turkeys and guinea fowls, fresh, chilled or frozen; 0209 - Pig fat, free of lean meat, and poultry fat, not rendered or otherwise extracted, fresh, chilled, frozen, salted, in brine, dried or smoked; 0401 - Milk and cream, not concentrated nor containing added sugar or other sweetening matter; 0407 - Birds' eggs, in shell, fresh, preserved or cooked; 0408 - Birds' eggs, not in shell, and egg yolks, fresh, dried, cooked by steaming or by boiling in water, moulded, frozen or otherwise preserved, whether or not containing added sugar or other sweetening matter; 0504 - Guts, bladders and stomachs of animals (other than fish), whole and pieces thereof, fresh, chilled, frozen, salted, in brine, dried or smoked.; 0206 - Edible offal of bovine animals, swine, sheep, goats, horses, asses, mules or hinnies, fresh, chilled or frozen; 1501 - Pig fat, incl. lard, and poultry fat, rendered or otherwise extracted (excl. lard stearin and lard oil); 1501 - Pig fat, incl. lard, and poultry fat, rendered or otherwise extracted (excl. lard stearin and lard oil); 0206 - Edible offal of bovine animals, swine, sheep, goats, horses, asses, mules or hinnies, fresh, chilled or frozen; 0504 - Guts, bladders and stomachs of animals (other than fish), whole and pieces thereof, fresh, chilled, frozen, salted, in brine, dried or smoked.; 0408 - Birds' eggs, not in shell, and egg yolks, fresh, dried, cooked by steaming or by boiling in water, moulded, frozen or otherwise preserved, whether or not containing added sugar or other sweetening matter; 0407 - Birds' eggs, in shell, fresh, preserved or cooked; 0401 - Milk and cream, not concentrated nor containing added sugar or other sweetening matter; 0209 - Pig fat, free of lean meat, and poultry fat, not rendered or otherwise extracted, fresh, chilled, frozen, salted, in brine, dried or smoked; 0207 - Meat and edible offal of fowls of the species Gallus domesticus, ducks, geese, turkeys and guinea fowls, fresh, chilled or frozen; 0203 - Meat of swine, fresh, chilled or frozen</t>
  </si>
  <si>
    <r>
      <rPr>
        <sz val="11"/>
        <rFont val="Calibri"/>
      </rPr>
      <t>https://members.wto.org/crnattachments/2026/SPS/JPN/26_00541_00_e.pdf</t>
    </r>
  </si>
  <si>
    <t>National Standard of the P.R.C., Safety code for inspection of small gas receptacles for dangerous goods</t>
  </si>
  <si>
    <t>This document specifies the terms and definitions, requirements, sampling, performance inspection and inspection rules of the inspection safety specifications for small gas receptacles of dangerous goods._x000D_
This document applies to the safety inspection of small gas receptacles with a capacity not exceeding 1000mL and a pressure not exceeding 1.2MPa, excluding lighters and igniters.</t>
  </si>
  <si>
    <t>Small gas receptacles (HS code(s): 731010; 7613); (ICS code(s): 13.300)</t>
  </si>
  <si>
    <t>731010 - Tanks, casks, drums, cans, boxes and similar containers, of iron or steel, for any material, of a capacity of &gt;= 50 l but &lt;= 300 l, n.e.s. (excl. containers for compressed or liquefied gas, or containers fitted with mechanical or thermal equipment); 7613 - Aluminium containers for compressed or liquefied gas.</t>
  </si>
  <si>
    <r>
      <rPr>
        <sz val="11"/>
        <rFont val="Calibri"/>
      </rPr>
      <t>https://members.wto.org/crnattachments/2026/TBT/CHN/26_00524_00_x.pdf</t>
    </r>
  </si>
  <si>
    <t>National Standard of the P.R.C., Safety code for the inspection of medium and minitype receptacles for dangerous goods</t>
  </si>
  <si>
    <t>This document specifies the terms and definitions, requirements, sampling, performance tests, marking and inspection rules for medium and minitype receptacle used for dangerous goods._x000D_
This document applies to the inspection of metal cylinders which are used at a normal ambient temperature of -20℃～60℃, with a working pressure not exceeding 2.43MPa (gauge pressure), a water capacity of 1L～25L, and are filled with low-pressure liquefied gases or dissolved gases.</t>
  </si>
  <si>
    <t>Medium and minitype receptacles (HS code(s): 731010); (ICS code(s): 13.300)</t>
  </si>
  <si>
    <t>731010 - Tanks, casks, drums, cans, boxes and similar containers, of iron or steel, for any material, of a capacity of &gt;= 50 l but &lt;= 300 l, n.e.s. (excl. containers for compressed or liquefied gas, or containers fitted with mechanical or thermal equipment)</t>
  </si>
  <si>
    <r>
      <rPr>
        <sz val="11"/>
        <rFont val="Calibri"/>
      </rPr>
      <t>https://members.wto.org/crnattachments/2026/TBT/CHN/26_00525_00_x.pdf</t>
    </r>
  </si>
  <si>
    <t>The proposed maximum residue limits (MRLs) for Dimpropyridaz notified in G/SPS/N/JPN/1336 (dated 19 May 2025) were adopted and published on 18 September 2025.The specified MRLs are available as below:</t>
  </si>
  <si>
    <t>Natural honey (HS code: 04.09)Edible vegetables and certain roots and tubers (HS codes: 07.01, 07.02, 07.04, 07.05, 07.07, 07.09 and 07.10)Edible fruit (HS codes: 08.06, 08.07, 08.08, 08.09, 08.10 and 08.11)Tea (HS code: 09.02)Oil seeds and oleaginous fruits, miscellaneous grains, seeds and fruit (HS codes: 12.01 and 12.12)</t>
  </si>
  <si>
    <t>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0811 - Fruit and nuts, uncooked or cooked by steaming or boiling in water, frozen, whether or not containing added sugar or other sweetening matter;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0809 - Apricots, cherries, peaches incl. nectarines, plums and sloes, fresh; 0808 - Apples, pears and quinces, fresh; 0807 - Melons, incl. watermelons, and papaws "papayas", fresh; 0806 - Grapes, fresh or dried; 0710 - Vegetables, uncooked or cooked by steaming or boiling in water, frozen; 0409 - Natural honey.; 0701 - Potatoes, fresh or chilled; 0702 - Tomatoes, fresh or chilled.; 0704 - Cabbages, cauliflowers, kohlrabi, kale and similar edible brassicas, fresh or chilled; 0705 - Lettuce "Lactuca sativa" and chicory "Cichorium spp.", fresh or chilled; 0707 - Cucumbers and gherkins, fresh or chilled.; 1201 - Soya beans, whether or not broken;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0701 - Potatoes, fresh or chilled; 1201 - Soya beans, whether or not broken; 0811 - Fruit and nuts, uncooked or cooked by steaming or boiling in water, frozen, whether or not containing added sugar or other sweetening matter;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0809 - Apricots, cherries, peaches incl. nectarines, plums and sloes, fresh; 0808 - Apples, pears and quinces, fresh; 0807 - Melons, incl. watermelons, and papaws "papayas", fresh; 0806 - Grapes, fresh or dried; 0710 - Vegetables, uncooked or cooked by steaming or boiling in water, frozen;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0707 - Cucumbers and gherkins, fresh or chilled.; 0705 - Lettuce "Lactuca sativa" and chicory "Cichorium spp.", fresh or chilled; 0704 - Cabbages, cauliflowers, kohlrabi, kale and similar edible brassicas, fresh or chilled; 0702 - Tomatoes, fresh or chilled.; 0409 - Natural honey.</t>
  </si>
  <si>
    <r>
      <rPr>
        <sz val="11"/>
        <rFont val="Calibri"/>
      </rPr>
      <t>https://members.wto.org/crnattachments/2026/SPS/JPN/26_00533_00_e.pdf</t>
    </r>
  </si>
  <si>
    <t>Norma Técnica del Programa Nacional de Cosmetovigilancia</t>
  </si>
  <si>
    <t>Cosmetics regulation is primarily governed by Supreme Decree No. 239/2002 of the Ministry of Health, approving the Regulations of the National Cosmetic Product Control System. These regulations establish the obligations of manufacturers, importers and registration holders, as well as the supervisory role of the health authority. However, experience in recent years has demonstrated the need for a specific post-marketing surveillance system that would:-Detect and record in a timely manner adverse events associated with the use of cosmetic products.-Evaluate and manage the risks arising from such events, applying proportionate and timely measures to protect the public.-Promote the participation of the various stakeholders, such as registration holders, health professionals and establishments, retail outlets and consumers.-Align Chile with international standards, in particular with the commitments undertaken within the framework of the Pacific Alliance and other regional integration forums.</t>
  </si>
  <si>
    <t>Productos cosméticos</t>
  </si>
  <si>
    <r>
      <rPr>
        <sz val="11"/>
        <rFont val="Calibri"/>
      </rPr>
      <t>https://members.wto.org/crnattachments/2026/TBT/CHL/26_00545_00_s.pdf</t>
    </r>
  </si>
  <si>
    <t>Decreto Supremo N°239, del 2010, del Ministerio de Salud, que Aprueba Reglamento del Sistema Nacional de Control de Cosméticos.G/TBT/N/CHL/781- 2 -</t>
  </si>
  <si>
    <t>Authorisation of celery seed essential oil from Apium graveolens L. and caraway essential oil from Carum carvi L. as feed additives for certain animal species</t>
  </si>
  <si>
    <t>The proposal notified in G/SPS/N/EU/858 (23 May 2025) is now adopted by Commission Implementing Regulation (EU) 2026/96 of 15 January 2026 concerning the authorisation of celery seed essential oil from Apium graveolens L. and caraway essential oil from Carum carvi L. as feed additives for certain animal species (Text with EEA relevance).The Regulation shall enter into force on the twentieth day following that of its publication in the Official Journal of the European Union.</t>
  </si>
  <si>
    <r>
      <rPr>
        <sz val="11"/>
        <rFont val="Calibri"/>
      </rPr>
      <t>https://members.wto.org/crnattachments/2026/SPS/EEC/26_00544_00_e.pdf
https://members.wto.org/crnattachments/2026/SPS/EEC/26_00544_00_f.pdf
https://members.wto.org/crnattachments/2026/SPS/EEC/26_00544_00_s.pdf</t>
    </r>
  </si>
  <si>
    <t>National Standard of the P.R.C., Specification for performance inspection of rigid plastic medium bulk containers for dangerous goods</t>
  </si>
  <si>
    <t>This document specifies the terms and definitions, requirements, tests and inspection rules for rigid plastic intermediate bulk containers for dangerous goods._x000D_
This document applies to the performance inspection of rigid plastic intermediate bulk containers for dangerous goods.</t>
  </si>
  <si>
    <t>Rigid plastics IBCs (HS code(s): 392390; 392510; 392690); (ICS code(s): 13.300)</t>
  </si>
  <si>
    <t>392390 - Articles for the conveyance or packaging of goods, of plastics (excl. boxes, cases, crates and similar articles; sacks and bags, incl. cones; carboys, bottles, flasks and similar articles; spools, spindles, bobbins and similar supports; stoppers, lids, caps and other closures); 392510 - Reservoirs, tanks, vats and similar containers, of plastics, with a capacity of &gt; 300 l; 392690 - Articles of plastics and articles of other materials of heading 3901 to 3914, n.e.s (excl. goods of 9619)</t>
  </si>
  <si>
    <r>
      <rPr>
        <sz val="11"/>
        <rFont val="Calibri"/>
      </rPr>
      <t>https://members.wto.org/crnattachments/2026/TBT/CHN/26_00527_00_x.pdf</t>
    </r>
  </si>
  <si>
    <t>Sweden</t>
  </si>
  <si>
    <t>Draft Ordinance on Invasive Alien Species</t>
  </si>
  <si>
    <t>The purpose of the proposal is to prevent the entry, release and dispersal of invasive alien species that have or may have adverse impacts on biological diversity, which is consistent with Sweden’s duty as a party to the Convention on Biological Diversity Article 8 (h). The species covered by the national list are specified in the annex to the proposed regulation. Only live specimens, or parts that might survive and subsequently reproduce, are covered. The measures are based on risk assessments carried out for each species. These assessments are based on the criteria established in Regulation (EU) No 1143/2014 of the European Parliament and of the Council of 22 October 2014 on the prevention and management of the introduction and spread of invasive alien species. The criteria for the risk assessment are, in turn, based on the requirements set out in the WTO Agreement. Measures: According to Chapter 3, Section 1, of the proposed new ordinance, the following general rule applies: It will be prohibited to intentionally: introduce the relevant species into the country, keep or breed the species, even in closed containment, transport the species, except to facilities in connection with eradication, release the species on the market, use or exchange the species, allow the species to reproduce, grow, or be cultivated, even in closed containment, or release the species into the environment. Trade facilitating exemptions: Exceptions to these prohibitions apply in the cases specified in Chapter 3, Sections 2–9.</t>
  </si>
  <si>
    <t>HS Code(s): Lupinus polyphyllus, Lupinus nootkatensis 1209 30, 0601, 0602, 0604; Rosa rugosa 0601, 0602, 0604; Phedimus spurius, Phedimus hybridus, Cotula coronopifolia 1209 30, 0601, 0602, 0604; Cotoneaster divaricatus 0601, 0602, 0604; Solidago canadensis, Solidago gigantea 1209 30, 0601, 0602, 0604; Ameiurus nebulosus, Carassius gibelio, Coregonus muksun, Coregonus peled 301; Elodea canadensis 0601, 0602, 0604; Homarus americanus 306321000; Hypophthalmichthys nobilis, Ictalurus punctatus, Misgurnus amamianus, Misgurnus buphoensis, Misgurnus chipisaniensis, Misgurnus fossilis, Misgurnus dabryanus, Misgurnus mohoity, Misgurnus multimaculatus, Misgurnus nahangensis, Misgurnus nikolskyi, Misgurnus tonkinensis, Neogobius melanostomus 0301; Nymphoides peltata 1209 30, 0601, 0602, 0604; Oncorhynchus gorbuscha, Pimephales promelas, Ponticola kessleri 0301; Rapana venosa, Sinanodonta woodiana 0307</t>
  </si>
  <si>
    <t>0301 - Live fish; 0307 - Molluscs, fit for human consumption, even smoked, whether in shell or not, live, fresh, chilled, frozen, dried, salted or in brine; 0601 - Bulbs, tubers, tuberous roots, corms, crowns and rhizomes, dormant, in growth or in flower, chicory plants and roots (excl. bulbs, tubers and tuberous roots used for human consumption and chicory roots of the variety cichorium intybus sativum); 0602 - Live plants incl. their roots, cuttings and slips; mushroom spawn (excl. bulbs, tubers, tuberous roots, corms, crowns and rhizomes, and chicory plants and roots); 0604 - Foliage, branches and other parts of plants, without flowers or flower buds, and grasses, mosses and lichens, of a kind suitable for bouquets or for ornamental purposes, fresh, dried, dyed, bleached, impregnated or otherwise prepared; 120930 - Seeds of herbaceous plants cultivated mainly for flowers, for sowing</t>
  </si>
  <si>
    <t>Animal health (SPS); Plant protection (SPS); Protect territory from other damage from pests (SPS)</t>
  </si>
  <si>
    <t>Territory protection; Plant health; Animal health</t>
  </si>
  <si>
    <t>March/April 2026</t>
  </si>
  <si>
    <t>May/June 2026</t>
  </si>
  <si>
    <r>
      <rPr>
        <sz val="11"/>
        <rFont val="Calibri"/>
      </rPr>
      <t>https://members.wto.org/crnattachments/2026/SPS/SWE/26_00562_00_e.pdf</t>
    </r>
  </si>
  <si>
    <t>Achieving 100% Wireless Handset Model Hearing Aid Compatibility</t>
  </si>
  <si>
    <t>The Federal Communications Commission (Commission) announces that the Office of Management and Budget (OMB) has approved, for a period of three years, information collections associated with the certain rules adopted in the Achieving 100% Wireless Handset Model Hearing Aid Compatibility Report and Order, FCC 24-112. This announcement also corrects a typographical error in the final rules.The rule amendments contained in 47 CFR 20.19(b)(3)(iii), (f), (h), and (i), published at 89 FR 89832, 13 November 2024 (notified as G/TBT/N/USA/2093/Add.1), with a Correction published at 89 FR 105473, 27 December 2024 (notified as G/TBT/N/USA/2093/Add.1/Corr.1), are effective on 26 January 2026.91 Federal Register (FR) 3070, 26 January 2026; Title 47 Code of Federal Regulations (CFR) Part 20_x000D_
https://www.govinfo.gov/content/pkg/FR-2026-01-26/html/2026-01441.htm_x000D_
https://www.govinfo.gov/content/pkg/FR-2026-01-26/pdf/2026-01441.pdfThis final rule; announcement of effective date; correction is identified by WT Docket No. 23-388 and FCC 24-112. Documents are also accessible from the FCC's Electronic Document Management System (EDOCS) by searching the WT Docket Number. Filings, including comments, are accessible from the FCC's Electronic Comment Filing System (ECFS) at https://www.fcc.gov/ecfs/search/search-filings/results?q=(express_comment:(%220%22)+AND+proceedings.name:(%2223-388%22))</t>
  </si>
  <si>
    <t>Wireless handset model hearing aid compatibility; Hearing aids (excl. parts and accessories) (HS code(s): 902140); Quality (ICS code(s): 03.120); Aids for deaf and hearing-impaired people (ICS code(s): 11.180.15); Acoustics and acoustic measurements (ICS code(s): 17.140); Telephone equipment (ICS code(s): 33.050.10); Accessories (ICS code(s): 33.160.50)</t>
  </si>
  <si>
    <t>902140 - Hearing aids (excl. parts and accessories); 902140 - Hearing aids (excl. parts and accessories)</t>
  </si>
  <si>
    <t>03.120 - Quality; 11.180.15 - Aids for deaf and hearing impaired people; 17.140 - Acoustics and acoustic measurements; 33.050.10 - Telephone equipment; 33.160.50 - Accessories; 03.120 - Quality; 11.180.15 - Aids for deaf and hearing impaired people; 17.140 - Acoustics and acoustic measurements; 33.050.10 - Telephone equipment; 33.160.50 - Accessories</t>
  </si>
  <si>
    <r>
      <rPr>
        <sz val="11"/>
        <rFont val="Calibri"/>
      </rPr>
      <t>https://members.wto.org/crnattachments/2026/TBT/USA/26_00511_00_e.pdf</t>
    </r>
  </si>
  <si>
    <t>DEAS 788:2022, Synthetic laundry detergent paste — Specification,Second Edition</t>
  </si>
  <si>
    <t>The aim of this addendum is to update WTO Members that the Draft East African Standard, DEAS 788:2022, Synthetic laundry detergent paste — Specification,Second Edition, notified G/TBT/N/BDI/260, G/TBT/N/KEN/1289, G/TBT/N/RWA/695, G/TBT/N/TZA/814, G/TBT/N/UGA/1665, was adopted by Tanzania on  31 October 2025 as a TZS 1649:2025/EAS 788:2022, Synthetic laundry detergent paste — Specification,Second Edition</t>
  </si>
  <si>
    <t>- Soap and organic surface-active products and preparations, in the form of bars, cakes, moulded pieces or shapes, and paper, wadding, felt and nonwovens, impregnated, coated or covered with soap or detergent : (HS code(s): 34011); Surface active agents (ICS code(s): 71.100.40)</t>
  </si>
  <si>
    <t>34011 - - Soap and organic surface-active products and preparations, in the form of bars, cakes, moulded pieces or shapes, and paper, wadding, felt and nonwovens, impregnated, coated or covered with soap or detergent :; 34011 - - Soap and organic surface-active products and preparations, in the form of bars, cakes, moulded pieces or shapes, and paper, wadding, felt and nonwovens, impregnated, coated or covered with soap or detergent :</t>
  </si>
  <si>
    <t>71.100.40 - Surface active agents; 71.100.40 - Surface active agents</t>
  </si>
  <si>
    <t>Consumer information, labelling (TBT); Consumer information, labelling (TBT); Quality requirements (TBT); Quality requirements (TBT); Harmonization (TBT); Harmonization (TBT); Reducing trade barriers and facilitating trade (TBT); Reducing trade barriers and facilitating trade (TBT)</t>
  </si>
  <si>
    <t>DEAS 812: 2022,Synthetic and combined (soap and synthetic) liquid hand wash – Specification, Second Edition</t>
  </si>
  <si>
    <t>The aim of this addendum is to update WTO Members that the Draft East African Standard, DEAS 812: 2022,Synthetic and combined (soap and synthetic) liquid hand wash – Specification,Second Edition, notified  G/TBT/N/BDI/261, G/TBT/N/KEN/1290, G/TBT/N/RWA/696, G/TBT/N/TZA/815, G/TBT/N/UGA/1666, was adopted by Tanzania on  31 October 2025 as a TZS 1779:2025/EAS 812: 2022,Synthetic and combined (soap and synthetic) liquid hand wash – Specification,Second Edition</t>
  </si>
  <si>
    <t>Consumer information, labelling (TBT); Quality requirements (TBT); Harmonization (TBT)</t>
  </si>
  <si>
    <t>DEAS 816: 2022, Synthetic liquid laundry detergent — Specification, Second Edition</t>
  </si>
  <si>
    <t>The aim of this addendum is to update WTO Members that the Draft East African Standard, DEAS 816: 2022, Synthetic liquid laundry detergent — Specification, Second Edition, notified  G/TBT/N/BDI/263, G/TBT/N/KEN/1292, G/TBT/N/RWA/698, G/TBT/N/TZA/817, G/TBT/N/UGA/1668, was adopted by Tanzania on  31 October 2025 as a TZS 1782:2025/EAS 816: 2022, Synthetic liquid laundry detergent — Specification, Second Edition,</t>
  </si>
  <si>
    <t>Consumer information, labelling (TBT); Consumer information, labelling (TBT); Quality requirements (TBT); Quality requirements (TBT); Harmonization (TBT); Harmonization (TBT)</t>
  </si>
  <si>
    <t>DEAS 815: 2022, Soap noodles — Specification,Second Edition</t>
  </si>
  <si>
    <t>The aim of this addendum is to update WTO Members that the Draft East African Standard, DEAS 815: 2022, Soap noodles — Specification,Second Edition, notified  G/TBT/N/BDI/262, G/TBT/N/KEN/1291, G/TBT/N/RWA/697, G/TBT/N/TZA/816, G/TBT/N/UGA/1667, was adopted by Tanzania on  31 October 2025 as a TZS 1781:2025/EAS 815: 2022, Soap noodles — Specification,Second Edition</t>
  </si>
  <si>
    <t>Turkish Food Codex Regulation on Amendment of Turkish Food Codex Regulation on Specifications for Food Additives</t>
  </si>
  <si>
    <t>Turkish Food Codex Regulation on Specifications for Food Additives was notified in G/TBT/N/TUR/79 (12 October 2016) and as of this date, some amendments were made.This time amendments have been made in order to align our national legislation with European Commission Regulation (EU) No 231/2012 of 9 March 2012 laying down specifications for food additives listed in Annexes II and III to Regulation (EC) No 1333/2008 of the European Parliament and of the Council. The regulation introduces amendments to the specifications and purity criteria of certain food additives. In particular, specifications have been established for buffered vinegar (E 267) and trimagnesium dicitrate (E 345(i)) as newly authorised food additives, as well as for steviol glycosides (E 960b). Amendments have been made to the purity criteria, including loss on drying, arsenic, lead and mercury, for nitrites (E 249–250) and nitrates (E 251–252). Stearyl tartrate (E 483) has been deleted from the Regulation, as it is to be removed from the list of authorised food additives. Furthermore, the definition and purity criteria of propyl gallate (E 310), sorbic acid (E 200) and potassium sorbate (E 202) have been amended. In addition, the specifications of certain cellulose-based food additives, namely cellulose (E 460), methyl cellulose (E 461), ethyl cellulose (E 462), hydroxypropyl cellulose (E 463), hydroxypropyl methyl cellulose (E 464), ethyl methyl cellulose (E 465), sodium carboxymethyl cellulose (cellulose gum, E 466), cross-linked sodium carboxymethyl cellulose and cross-linked cellulose gum (E 468), and enzymatically hydrolysed carboxymethyl cellulose and enzymatically hydrolysed cellulose gum (E 469), have been amended with respect to their definitions, identification criteria and purity requirements. The regulation published in the Official Gazette dated 18 January 2026, numbered 33141. The consolidated text of the Regulation can be found at Republic of Türkiye - Presidential Legislation Information System</t>
  </si>
  <si>
    <t>Specifications for food additives</t>
  </si>
  <si>
    <t>67.220.20 - Food additives; 67.220.20 - Food additives</t>
  </si>
  <si>
    <t>Protection of human health</t>
  </si>
  <si>
    <r>
      <rPr>
        <sz val="11"/>
        <rFont val="Calibri"/>
      </rPr>
      <t>https://members.wto.org/crnattachments/2026/TBT/TUR/modification/26_00522_00_x.pdf
https://members.wto.org/crnattachments/2026/TBT/TUR/modification/26_00522_01_x.pdf</t>
    </r>
  </si>
  <si>
    <t>DEAS 127-2: 2022, Synthetic detergent powder — Specification — Part 2: Machine wash, Second Edition</t>
  </si>
  <si>
    <t> The aim of this addendum is to update WTO Members that the Draft East African Standard, DEAS 127-2: 2022, Synthetic detergent powder — Specification — Part 2: Machine wash, Second Edition, notified  G/TBT/N/BDI/265, G/TBT/N/KEN/1294, G/TBT/N/RWA/700, G/TBT/N/TZA/819, G/TBT/N/UGA/1670, was adopted by Tanzania on  31 October 2025 as a TZS 1778-2:2025/EAS 127-2: 2022, Synthetic detergent powder — Specification — Part 2: Machine wash, Second Edition.</t>
  </si>
  <si>
    <t>DEAS 817: 2022, Stain remover for tableware — Specification, Second Edition</t>
  </si>
  <si>
    <t>The aim of this addendum is to update WTO Members that the Draft East African Standard,DEAS 817: 2022, Stain remover for tableware — Specification, Second Edition, notified  G/TBT/N/BDI/264, G/TBT/N/KEN/1293, G/TBT/N/RWA/699, G/TBT/N/TZA/818, G/TBT/N/UGA/1669, was adopted by Tanzania on  31 October 2025 as a TZS 1783:2025/EAS 817: 2022, Stain remover for tableware — Specification, Second Edition</t>
  </si>
  <si>
    <t>The placing on the market of packaging that comes into contact with foodstuffs, as well as consumer goods that are intended for single use is prohibited, if they exceed the following values in homogeneous material a) a mass content of at least one non-polymeric PFASs of 0.0000025 per cent (25 ppb);b) a mass content of the sum of non-polymeric PFASs, including those formed by conversion from precursor compounds using a state-of-the-art process, of 0.000025 per cent (250 ppb);c) a mass content of the sum of non-polymeric and polymeric PFASs of 0.005 per cent (50 ppm).</t>
  </si>
  <si>
    <r>
      <rPr>
        <sz val="11"/>
        <rFont val="Calibri"/>
      </rPr>
      <t>https://members.wto.org/crnattachments/2026/TBT/CHE/26_00513_00_e.pdf</t>
    </r>
  </si>
  <si>
    <t>Chemical Risk Reduction Ordinance (in force)Foodstuffs and utility articles ordinance (in force)</t>
  </si>
  <si>
    <t>Proyecto "Reforma parcial a la normativa técnica sanitaria sustitutiva de registro sanitario de productos naturales procesados de uso medicinal, y de Buenas Prácticas de Manufactura para laboratorios farmacéuticos de productos naturales procesados de uso medicinal (Draft Partial Amendment to the Substitute Sanitary Technical Regulation on the sanitary registration of processed natural products for medicinal use, and good manufacturing practices for pharmaceutical laboratories working with processed natural products for medicinal use)</t>
  </si>
  <si>
    <t>The Republic of Ecuador hereby notifies the draft Partial Amendment to the Substitute Sanitary Technical Regulation on the sanitary registration of processed natural products for medicinal use, and good manufacturing practices for pharmaceutical laboratories working with processed natural products for medicinal use, issued pursuant to Resolution No. ARCSA-DE-036-2020-MAFG, published in Official Journal No. 362 on 4 January 2021. The aim of this draft amendment is to establish the quality, safety and efficacy parameters for granting sanitary registration to processed natural products for medicinal use. It also sets out the promotion, control, monitoring and penalty criteria applicable to such products and to the establishments engaged in their manufacture, storage, distribution and marketing. Moreover, it establishes requirements and guidelines for issuing good manufacturing practices certificates to national pharmaceutical laboratories that manufacture, process, package, store, distribute and transport processed natural products.Ministerio de Producción, Comercio Exterior e Inversiones (Ministry of Production, Foreign Trade and Investment)Subsecretaría de la Calidad (Under-Secretariat for Quality)Primary enquiry point:Cristian Eduardo Yépez JaramilloPlataforma Gubernamental de Gestión FinancieraAv. Amazonas entre Unión Nacional de Periodistas y Alfonso PereiraPiso 8Bloque amarilloQuito EC170522Tel.: (+593 2) 3948760, Ext. 2254 or 2252Email: puntocontacto-otcecu@produccion.gob.ec; puntocontactoecu@gmail.com; cyepez@produccion.gob.ecWebsite: http://www.produccion.gob.ec__________</t>
  </si>
  <si>
    <t>The aim of the draft Substitute Sanitary Technical Regulation on the monitoring and control of the advertising and promotion of medicines in general, processed natural products for medicinal use, homeopathic products or medicines and medical devices is to regulate, control and monitor the advertising and promotion of medicines in general, processed natural products for medicinal use, homeopathic products or medicines and medical devices, in accordance with the provisions of the Organic Law on Health, with a view to promoting and providing information on the rational use and proper handling of the above-mentioned products. Only products with a sanitary registration certificate classifying them as over-the-counter products may be advertised.</t>
  </si>
  <si>
    <t>11.040 - Medical equipment; 11.040 - Medical equipment; 11.120 - Pharmaceutics; 11.120 - Pharmaceutics</t>
  </si>
  <si>
    <r>
      <rPr>
        <sz val="11"/>
        <rFont val="Calibri"/>
      </rPr>
      <t>https://members.wto.org/crnattachments/2026/TBT/ECU/modification/26_00509_00_s.pdf</t>
    </r>
  </si>
  <si>
    <t>Proposed Great Britain (GB) mandatory classification and labelling of 60 hazardous chemical substances</t>
  </si>
  <si>
    <t>The purpose of this proposal is to amend the GB mandatory classification and labelling list (the GB MCL list), following review, by introducing new and revised entries for the mandatory classification and labelling of 60 hazardous chemical substances. </t>
  </si>
  <si>
    <t>Hazardous substances.</t>
  </si>
  <si>
    <t>Ensuring the proper functioning of the UK internal market</t>
  </si>
  <si>
    <t>Expected Q2 2026</t>
  </si>
  <si>
    <t>Q2 2026 (voluntary) – Q4 2028 (mandatory)</t>
  </si>
  <si>
    <r>
      <rPr>
        <sz val="11"/>
        <rFont val="Calibri"/>
      </rPr>
      <t>https://members.wto.org/crnattachments/2026/TBT/GBR/26_00503_00_e.pdf</t>
    </r>
  </si>
  <si>
    <t>The proposed GB mandatory classification and labelling of 60 hazardous chemical substances. Notified document - Proposed GB mandatory classification and labelling of 60 hazardous chemical substances – January 2026Other relevant documents GB mandatory classification and labelling list (GB MCL list) – available on the HSE website at The GB Mandatory Classification and Labelling List (.xlsx)The individual Agency Opinions for these hazardous chemical substances are also available for download from the HSE GB CLP Website on the HSE GB CLP Publication Table -https://www.hse.gov.uk/chemical-classification/assets/docs/publication-template.xlsxRegulation (EC) No 1272/2008 of the European Parliament and of the Council(Note - this is the ‘Assimilated CLP Regulation (EC) No. 1272/2008 as amended for Great Britain’ as set out in The Chemicals (Health and Safety) and Genetically Modified Organisms (Contained Use) (Amendment etc.) (EU Exit) Regulations 2019 No. 720 as amended by The Chemicals (Health and Safety) and Genetically Modified Organisms (Contained Use) (Amendment etc.) (EU Exit) Regulations 2020(the GB CLP Regulation)).</t>
  </si>
  <si>
    <t>Public Consultation No. 4/2025</t>
  </si>
  <si>
    <t>Proposal for Conformity Assessment of Products Controlled by the Army.Contributions should be submitted via the "Brasil Participativo" digital platform.</t>
  </si>
  <si>
    <t>Products Controlled by the Army</t>
  </si>
  <si>
    <r>
      <rPr>
        <sz val="11"/>
        <rFont val="Calibri"/>
      </rPr>
      <t>https://brasilparticipativo.presidencia.gov.br/processes/consulta-publica-portaria-189</t>
    </r>
  </si>
  <si>
    <t>Brazilian Official Gazette 14 on 21 January 2026, section 1, page 15https://www.in.gov.br/en/web/dou/-/consulta-publica-n-4/2025-682278568</t>
  </si>
  <si>
    <t>Resolution governing the importation of Dahlia (Dahlia hybrid) cuttings for propagation, originating in GuatemalaCosta Rica hereby advises that the phytosanitary measures notified in document G/SPS/N/CRI/341 have entered into force pursuant to Resolution No. 007-2026-CV-ARP-SFE of the State Phytosanitary Service, Plant Quarantine Department, Pest Risk Analysis Unit, establishing phytosanitary requirements for the importation of Dahlia (Dahlia hybrid) cuttings for propagation originating in Guatemala.https://members.wto.org/crnattachments/2026/SPS/CRI/26_00493_00_s.pdf</t>
  </si>
  <si>
    <t>Dahlia (Dahlia hybrid) cuttings for propagation (HS code(s): 0602)</t>
  </si>
  <si>
    <r>
      <rPr>
        <sz val="11"/>
        <rFont val="Calibri"/>
      </rPr>
      <t>https://members.wto.org/crnattachments/2026/SPS/CRI/26_00493_00_s.pdf</t>
    </r>
  </si>
  <si>
    <t>Ordinance SDA/MAPA No. 1.529, of 16 January 2026. Establishes the phytosanitary requirements for the importation of seeds and in vitro seedlings of Fragaria spp. from any origin</t>
  </si>
  <si>
    <t>The phytosanitary requirements for the importation of seeds and in vitro seedlings (Category 4) of Fragaria spp., from any origin, are hereby established.</t>
  </si>
  <si>
    <t>Fragaria spp.</t>
  </si>
  <si>
    <t>120999 - Seeds, fruits and spores, for sowing (excl. leguminous vegetables and sweetcorn, coffee, tea, maté and spices, cereals, oil seeds and oleaginous fruits, beets, forage plants, vegetable seeds, and seeds of herbaceous plants cultivated mainly for flowers or used primarily in perfumery, medicaments or for insecticidal, fungicidal or similar purposes); 120999 - Seeds, fruits and spores, for sowing (excl. leguminous vegetables and sweetcorn, coffee, tea, maté and spices, cereals, oil seeds and oleaginous fruits, beets, forage plants, vegetable seeds, and seeds of herbaceous plants cultivated mainly for flowers or used primarily in perfumery, medicaments or for insecticidal, fungicidal or similar purposes)</t>
  </si>
  <si>
    <r>
      <rPr>
        <sz val="11"/>
        <rFont val="Calibri"/>
      </rPr>
      <t>https://members.wto.org/crnattachments/2026/SPS/BRA/26_00487_00_x.pdf
https://www.in.gov.br/web/dou/-/portaria-sda/mapa-n-1.529-de-16-de-janeiro-de-2026-682031261</t>
    </r>
  </si>
  <si>
    <t>Proposed Maximum Residue Limit: Sedaxane (PMRL2026-01)</t>
  </si>
  <si>
    <t>The objective of the notified document PMRL2026-01 is to consult on the listed maximum residue limits (MRLs) for sedaxane that have been proposed by Health Canada’s Pest Management Regulatory Agency (PMRA).MRL (ppm)1 Raw Agricultural Commodity (RAC) and/or Processed Commodity0.01            Bulb onions (crop subgroup 3-07A); cucurbit vegetables (crop group 9)1 ppm = parts per millionThe commodities included in the listed crop groups/subgroups can be found on the Residue Chemistry Crop Groups webpage (https://www.canada.ca/en/health-canada/services/consumer-product-safety/pesticides-pest-management/public/protecting-your-health-environment/pesticides-food/residue-chemistry-crop-groups.html) in the Pesticides section of the Canada.ca website.</t>
  </si>
  <si>
    <t>Pesticide sedaxane in or on various commodities (ICS codes: 65.020, 65.100, 67.040, 67.080)</t>
  </si>
  <si>
    <t>Currently, there are no Codex MRLs listed for sedaxane in or on the petitioned commodities according to the Codex Alimentarius Pesticide Index website.</t>
  </si>
  <si>
    <t>1)  Introduction of new exhaust emission test methods in accordance with the upcoming standards (including Quick Drive-Away Test procedures using the CVS-75 mode)(Appendix 1-5, 1-6)_x000D_
2)  Introduction of criteria for malfunctions of the On-Board Diagnostics (OBD) systems for exhaust emission in accordance with the upcoming standards (Appendix 15)</t>
  </si>
  <si>
    <t>Vehicles using gasoline or gas </t>
  </si>
  <si>
    <t>13.040.50 - Transport exhaust emissions</t>
  </si>
  <si>
    <t>Protection of the atmospheric environment</t>
  </si>
  <si>
    <r>
      <rPr>
        <sz val="11"/>
        <rFont val="Calibri"/>
      </rPr>
      <t>https://members.wto.org/crnattachments/2026/TBT/KOR/26_00500_00_x.pdf
https://members.wto.org/crnattachments/2026/TBT/KOR/26_00500_01_x.pdf</t>
    </r>
  </si>
  <si>
    <t>Public Notice No. 2026-29 of Ministry of Climate, Energy and Environment</t>
  </si>
  <si>
    <t>Resolution regulating the importation of raspberry (Rubus idaeus) cuttings, with or without roots, for propagation, originating in MexicoCosta Rica hereby advises that the phytosanitary measures notified in document G/SPS/N/CRI/342 have entered into force pursuant to Resolution No. 006-2026-CV-ARP-SFE of the State Phytosanitary Service, Plant Quarantine Department, Pest Risk Analysis Unit, establishing phytosanitary requirements for the importation of raspberry (Rubus idaeus) cuttings, with or without roots, for propagation, originating in Mexico.https://members.wto.org/crnattachments/2026/SPS/CRI/26_00494_00_s.pdf</t>
  </si>
  <si>
    <t>Raspberry (Rubus idaeus) cuttings, with or without roots, for propagation (HS code: 0602)</t>
  </si>
  <si>
    <r>
      <rPr>
        <sz val="11"/>
        <rFont val="Calibri"/>
      </rPr>
      <t>https://members.wto.org/crnattachments/2026/SPS/CRI/26_00494_00_s.pdf</t>
    </r>
  </si>
  <si>
    <t>Safer Consumer Products Regulations</t>
  </si>
  <si>
    <t>Adds manual dish detergents and shampoo containing 1,4-dioxane at concentrations greater than 1 part per million (ppm) as Priority Products to the Priority Products List</t>
  </si>
  <si>
    <t>Dish detergents and shampoo containing 1,4-dioxane; Surface active agents (ICS code(s): 71.100.40); Cosmetics. Toiletries (ICS code(s): 71.100.70)</t>
  </si>
  <si>
    <t>71.100.40 - Surface active agents; 71.100.70 - Cosmetics. Toiletries</t>
  </si>
  <si>
    <t>Prevention of deceptive practices and consumer protection (TBT); Protection of human health or safety (TBT); Protection of the environment (TBT)</t>
  </si>
  <si>
    <r>
      <rPr>
        <sz val="11"/>
        <rFont val="Calibri"/>
      </rPr>
      <t>https://members.wto.org/crnattachments/2026/TBT/USA/26_00496_00_e.pdf
https://members.wto.org/crnattachments/2026/TBT/USA/26_00496_01_e.pdf</t>
    </r>
  </si>
  <si>
    <t>No. 3-Z, California Regulatory Notice Register 16 January 2026 pages 41-45: https://oal.ca.gov/wp-content/uploads/sites/166/2026/01/2026-Notice-Register-No.-3-Z-January-16-2026.pdfManual Dish Detergents and Shampoo Containing 1,4-Dioxane at Concentrations Greater Than 1 Part per Million: https://dtsc.ca.gov/scp/manual_dish_detergents_and_shampoo_containing_14-dioxane/Listing Manual Dish Detergents and Shampoo Containing 1,4-Dioxane at Concentrations Greater Than 1 Part per Million (ppm) as Priority Products: https://dtsc.ca.gov/listing-manual-dish-detergents-and-shampoo-containing-14-dioxane-at-concentrations-greater-than-1-part-per-million-ppm-as-priority-products/</t>
  </si>
  <si>
    <t>Notice of Administration Order of Saudi Food and Drug Authority Ref. No. 22302 dated 16 November 2025 entitled “Temporary ban on importation of poultry meat, eggs and their products originating from Monaghan in Ireland”</t>
  </si>
  <si>
    <t xml:space="preserve">The Saudi Food and Drug Authority (SFDA) issued the Notice of Administration Order of Saudi Food and Drug Authority Ref. No. 22302 dated 16 November 2025 entitled “Temporary ban on importation of poultry meat, eggs and their products originating from Monaghan in Ireland”. The Saudi Food and Drug Authority (SFDA) has subsequently issued the Notice Administrative Order No. 32575 dated 22 January 2026, lifting the temporary ban on the importation of poultry meat, eggs and their products originating from Monaghan in Ireland, based on the WOAH report dated 5 January 2026, indicating that Monaghan in Ireland is free from Highly Pathogenic Avian Influenza Virus (HPAI)._x000D_
</t>
  </si>
  <si>
    <t>Animal diseases; Animal health; Avian Influenza; Food safety; Human health; Pest- or Disease- free Regions / Regionalization; Withdrawal of the measure; Avian Influenza; Human health; Animal health; Food safety; Animal diseases; Pest- or Disease- free Regions / Regionalization</t>
  </si>
  <si>
    <r>
      <rPr>
        <sz val="11"/>
        <rFont val="Calibri"/>
      </rPr>
      <t>https://members.wto.org/crnattachments/2026/SPS/SAU/26_00497_00_x.pdf</t>
    </r>
  </si>
  <si>
    <t>Public Consultation No. 1, 8 January 2026 </t>
  </si>
  <si>
    <t>Republishing of Public Consultation No. 1, 8 January 2026, due to an error in the original text published in Edition No. 13 of the Official Gazette of the Union, dated January 20, 2026, Section 1, pages 36 to 38.https://www.in.gov.br/en/web/dou/-/consulta-publica-n-1-de-8-de-janeiro-de-2026-*-682279194</t>
  </si>
  <si>
    <t>Industry 4.0</t>
  </si>
  <si>
    <t>To be implemented by productive organizations that wish to evaluate, recognize, and monitor over time their continuous evolution towards more advanced levels of digitalization, integration, and intelligence in production processes.</t>
  </si>
  <si>
    <t>Ordinance  SDA/MAPA No. 1.532, of 19 January 2026. Establishes the phytosanitary requirements for the importation of propagative material of Elaeis spp. of any origin</t>
  </si>
  <si>
    <t>The phytosanitary requirements for the importation of propagative material  (Category 4) of Elaeis spp., of any origin, are hereby established. </t>
  </si>
  <si>
    <t>Elaeis spp.</t>
  </si>
  <si>
    <r>
      <rPr>
        <sz val="11"/>
        <rFont val="Calibri"/>
      </rPr>
      <t>https://members.wto.org/crnattachments/2026/SPS/BRA/26_00486_00_x.pdf
https://www.in.gov.br/web/dou/-/portaria-sda/mapa-n-1.542-de-19-de-janeiro-de-2026-682276232</t>
    </r>
  </si>
  <si>
    <t>Order No. 48 from 26 January 2026 on the temporary suspension of imports of poultry meat, poultry by-products and products containing poultry meat from Ukraine</t>
  </si>
  <si>
    <t>The notified measure provides for the temporary suspension of imports of poultry meat, poultry by-products and products containing poultry meat originating from Ukraine into the territory of the Republic of Moldova.The suspension applies at border inspection posts and will be reviewed based on guarantees and information provided by the competent veterinary authority of Ukraine, as requested by the National Food Safety Agency.</t>
  </si>
  <si>
    <t>16 - PREPARATIONS OF MEAT, OF FISH, OF CRUSTACEANS, MOLLUSCS OR OTHER AQUATIC INVERTEBRATES, OR OF INSECTS; 02 - MEAT AND EDIBLE MEAT OFFAL; 05 - PRODUCTS OF ANIMAL ORIGIN, NOT ELSEWHERE SPECIFIED OR INCLUDED; 0207 - Meat and edible offal of fowls of the species Gallus domesticus, ducks, geese, turkeys and guinea fowls, fresh, chilled or frozen; 0504 - Guts, bladders and stomachs of animals (other than fish), whole and pieces thereof, fresh, chilled, frozen, salted, in brine, dried or smoked.; 1601 - Sausages and similar products, of meat, meat offal, blood or insects; food preparations based on these products.; 1602 - Prepared or preserved meat, meat offal, blood or insects (excl. sausages and similar products, and meat extracts and juices)</t>
  </si>
  <si>
    <t>Date of publication in the Official Monitor of the Republic of Moldova.</t>
  </si>
  <si>
    <r>
      <rPr>
        <sz val="11"/>
        <rFont val="Calibri"/>
      </rPr>
      <t>https://members.wto.org/crnattachments/2026/SPS/MDA/26_00504_00_e.pdf
https://members.wto.org/crnattachments/2026/SPS/MDA/26_00504_00_x.pdf
https://www.ansa.gov.md/sites/default/files/2026-01/Ordin%20nr.%2048.pdf</t>
    </r>
  </si>
  <si>
    <t>The emergency measure to mitigate the risk of introducing Bactrocera cucurbitae</t>
  </si>
  <si>
    <t>To prevent the introduction of Bactrocera cucurbitae into Japan, MAFF has taken the emergency measure to prohibit the import of host plants of B. cucurbitae (specified in Item 3. of this notification) originated in the United Arab Emirates based on examination of the relevant documents listed in Item 10.</t>
  </si>
  <si>
    <t>Live plants and plant parts for planting (excluding seed and underground parts) and cut flowers, cut branches and fruits of plants for consumption and ornament of the following plants: CucurbitaceaeFresh fruits of the following plants: Adenia hondala, African custard-apple (Annona senegalensisFicus erecta, black nightshade (Solanum nigrum), common bean (kidney bean) (Phaseolus vulgaris), Ficus pumila, Mexican husk tomato (Physalis philadelphica (syn. Physalis ixocarpa)), cashew (Anacardium occidentaleCapsicum frutescens, pigeon pea (Cajanus cajanSolanum capsicoides (syn. Solanum aculeatissimum), passion fruit (Passiflora edulis), tamarillo (Cyphomandra betacea (syn. Pionandra betaceaSolanum betaceumSolanum insigne)), carambola (Averrhoa carambola), cowpea (Vigna unguiculata(including Vigna unguiculata var. sesquipedalis)), sweet orange (Citrus sinensisStrychnos spinosa, scarlet eggplant (Solanum aethiopicum), African eggplant (Solanum anguiviSolanum sessiliflorumSolanum trilobatumSolanum macrocarponSolanum linnaeanumSolanum mauritianumSolanum pseudocapsicumTetrastigma leucostaphylum (syn. Tetrastigma lanceolarium), sweet pepper (chili pepper, Shishito pepper, bell pepper) (Capsicum annuum), tomato (including Lycopersicon esculentum (syn. Solanum lycopersicumSolanum arcanumSolanum cheesmaniaeSolanum chilenseSolanum galapagenseSolanum peruvianumSolanum pimpinellifolium), eggplant (Solanum melongena), jujube (Ziziphus jujuba (syn. Ziziphus vulgarisZiziphus sativa)), papaya (Carica papaya, guava (Psidium guajava), hyacinth bean (Lablab purpureus (syn. Dolichos lablab)), Singapore almond (Terminalia catappaSolanum erianthum (syn. Solanum verbascifoliumHylocereus (excluding yellow pitahaya (Hylocereus megalanthus (syn. Selenicereus megalanthus Mangifera, Cucurbitaceae</t>
  </si>
  <si>
    <t>060220 - Edible fruit or nut trees, shrubs and bushes, whether or not grafted; 070993 - Fresh or chilled pumpkins, squash and gourds "Cucurbita spp."</t>
  </si>
  <si>
    <t>Denial of the renewal of the authorization of a preparation containing a smoke flavouring extract-2b0001 as a feed additive for dogs and cats</t>
  </si>
  <si>
    <t>The proposal notified in G/SPS/N/EU/861 (15 July 2025) is now adopted by Commission Implementing Regulation (EU) 2026/89 of 14 January 2026 concerning the denial of the renewal of the authorization of a preparation containing a smoke flavouring extract-2b0001 as a feed additive for dogs and cats and repealing Implementing Regulation (EU) No. 1076/2014 (Text with EEA relevance).This Regulation shall enter into force on the twentieth day following that of its publication in the Official Journal of the European Union.</t>
  </si>
  <si>
    <r>
      <rPr>
        <sz val="11"/>
        <rFont val="Calibri"/>
      </rPr>
      <t>https://members.wto.org/crnattachments/2026/SPS/EEC/26_00485_00_e.pdf
https://members.wto.org/crnattachments/2026/SPS/EEC/26_00485_00_f.pdf
https://members.wto.org/crnattachments/2026/SPS/EEC/26_00485_00_s.pdf</t>
    </r>
  </si>
  <si>
    <t>Resolución 048-2025-IPSA, Establecimiento de Requisitos Fitosanitarios para la Importación de semilla de granadillo (Dalbergia retusa) origen y procedencia Costa Rica (Resolution No. 048-2025-IPSA establishing phytosanitary requirements for the importation of cocobolo (Dalbergia retusa) seeds originating in and coming from Costa Rica)</t>
  </si>
  <si>
    <t>The notified Resolution establishes the phytosanitary requirements for the importation of cocobolo (Dalbergia retusa) seeds originating in and coming from Costa Rica.1. The shipment must be accompanied by an official phytosanitary certificate, which certifies that the seeds have been inspected by the national plant protection organization (NPPO) of the country of origin;2. The shipment must be free from soil and any foreign material or contaminants;3. The seeds must be presented in new, first-use packaging;4.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</si>
  <si>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Cocobolo (Dalbergia retusa) seeds</t>
  </si>
  <si>
    <r>
      <rPr>
        <sz val="11"/>
        <rFont val="Calibri"/>
      </rPr>
      <t>https://members.wto.org/crnattachments/2026/SPS/NIC/26_00459_00_s.pdf</t>
    </r>
  </si>
  <si>
    <t>Regulation on the production, processing, marketing, registration and control of organic agricultureThe Republic of Honduras hereby advises that the final date for comments or observations concerning notification G/SPS/N/HND/17/Add.1 of 24 November 2025, on the Regulation on the production, processing, marketing, registration and control of organic agriculture, has been extended to 22 February 2026.https://sde.gob.hn/wp-content/uploads/2025/11/REGLAMENTO-PARA-LA-PRODUCCION-PROCESAMIENTO-COMERCIALIZACION-REGISTRO-Y-CONTROL-DE-LA-AGRICULTURA-ORGANICA.pdf</t>
  </si>
  <si>
    <t>Organic agriculture produce</t>
  </si>
  <si>
    <t>Plant health; Modification of final date for comments; Territory protection; Plant health; Territory protection</t>
  </si>
  <si>
    <r>
      <rPr>
        <sz val="11"/>
        <rFont val="Calibri"/>
      </rPr>
      <t>https://sde.gob.hn/wp-content/uploads/2025/11/REGLAMENTO-PARA-LA-PRODUCCION-PROCESAMIENTO-COMERCIALIZACION-REGISTRO-Y-CONTROL-DE-LA-AGRICULTURA-ORGANICA.pdf</t>
    </r>
  </si>
  <si>
    <t>Turkish Food Codex Regulation on Amendment of Turkish Food Codex Regulation on Specifications for Food Additives </t>
  </si>
  <si>
    <t>Turkish Food Codex Regulation on Specifications for Food Additives was notified in G/SPS/N/TUR/76 (7 October 2016) and as of this date, some amendments were made.This time amendments have been made in order to align our national legislation with European Commission Regulation (EU) No. 231/2012 of 9 March 2012 laying down specifications for food additives listed in Annexes II and III to Regulation (EC) No. 1333/2008 of the European Parliament and of the Council. The regulation introduces amendments to the specifications and purity criteria of certain food additives. In particular, specifications have been established for buffered vinegar (E 267) and trimagnesium dicitrate (E 345(i)) as newly authorized food additives, as well as for steviol glycosides (E 960b). Amendments have been made to the purity criteria, including loss on drying, arsenic, lead and mercury, for nitrites (E 249–250) and nitrates (E 251–252). Stearyl tartrate (E 483) has been deleted from the Regulation, as it is to be removed from the list of authorized food additives. Furthermore, the definition and purity criteria of propyl gallate (E 310), sorbic acid (E 200) and potassium sorbate (E 202) have been amended. In addition, the specifications of certain cellulose-based food additives, namely cellulose (E 460), methyl cellulose (E 461), ethyl cellulose (E 462), hydroxypropyl cellulose (E 463), hydroxypropyl methyl cellulose (E 464), ethyl methyl cellulose (E 465), sodium carboxymethyl cellulose (cellulose gum, E 466), cross-linked sodium carboxymethyl cellulose and cross-linked cellulose gum (E 468), and enzymatically hydrolysed carboxymethyl cellulose and enzymatically hydrolysed cellulose gum (E 469), have been amended with respect to their definitions, identification criteria and purity requirements. The regulation published in the Official Gazette dated 18 January 2026, numbered 33141. The consolidated text of the Regulation can be found at Republic of Türkiye - Presidential Legislation Information System</t>
  </si>
  <si>
    <t>Adoption/publication/entry into force of reg.; Food additives; Food safety; Human health; Food additives; Food safety; Human health</t>
  </si>
  <si>
    <r>
      <rPr>
        <sz val="11"/>
        <rFont val="Calibri"/>
      </rPr>
      <t>https://members.wto.org/crnattachments/2026/SPS/TUR/26_00482_00_x.pdf
https://members.wto.org/crnattachments/2026/SPS/TUR/26_00482_01_x.pdf
https://www.resmigazete.gov.tr/eskiler/2026/01/20260118-1.htm
https://mevzuat.gov.tr/mevzuat?MevzuatNo=23476&amp;MevzuatTur=7&amp;MevzuatTertip=5</t>
    </r>
  </si>
  <si>
    <t>Import suspension of poultry meat and egg products from part of Belgium; Import suspension of live poultry, poultry meat and egg products from part of Canada; Import suspension of poultry meat and egg products from part of Denmark; Import suspension of live poultry, poultry meat and egg products from part of Hungary; Import suspension of poultry meat and egg products from part of Lithuania; Import suspension of live poultry and liquid poultry egg products from part of Netherland; Import suspension of live poultry, poultry meat and egg products from Sweden; Import suspension of live poultry, poultry meat and egg products from part of United Kingdom; Import suspension of live poultry, poultry meat and egg products from part of United States of America</t>
  </si>
  <si>
    <t>In order to prevent the introduction of High Pathogenicity Avian Influenza (HPAI) virus and Low Pathogenicity Avian Influenza (LPAI) into Japan, MAFF has taken import suspension measures based on Articles 37 and 44 of the "Act on Domestic Animal Infectious Disease Control" and other relevant requirements.</t>
  </si>
  <si>
    <t>Live poultry, poultry meat or egg products</t>
  </si>
  <si>
    <t>0105 - Live poultry, "fowls of the species Gallus domesticus, ducks, geese, turkeys and guinea fowls"; 0207 - Meat and edible offal of fowls of the species Gallus domesticus, ducks, geese, turkeys and guinea fowls, fresh, chilled or frozen; 0407 - Birds' eggs, in shell, fresh, preserved or cooked</t>
  </si>
  <si>
    <t>Avian Influenza; Animal health; Animal diseases; Pest- or Disease- free Regions / Regionalization</t>
  </si>
  <si>
    <t>Belgium; Canada; Denmark; Hungary; Lithuania; Netherlands; Sweden; United Kingdom; United States of America</t>
  </si>
  <si>
    <t>See No. 11 in the attachment for more information.</t>
  </si>
  <si>
    <r>
      <rPr>
        <sz val="11"/>
        <rFont val="Calibri"/>
      </rPr>
      <t>https://members.wto.org/crnattachments/2026/SPS/JPN/26_00478_00_e.pdf</t>
    </r>
  </si>
  <si>
    <t>Department of Agriculture Administrative Circular No. 12, Series of 2025, Guidelines on the Bilateral Recognition of Regionalization of African Swine Fever from Accredited Countries for Export of Swine, and Swine Products into the Philippines</t>
  </si>
  <si>
    <t>The Department of Agriculture (DA) Administrative Circular No. 12, series of 2025, titled “Guidelines on the Bilateral Recognition of Regionalization of African Swine Fever from Accredited Countries for Export of Swine, and Swine Products into the Philippines”, introduces a new policy for the safe importation of swine and pork products._x000D_
In essence, the circular implements an African Swine Fever (ASF) regionalization scheme, replacing the previous blanket country-wide ban policy. This means the Philippines will now recognize ASF-free regions (Administrative regions) within countries that are already accredited to export to the Philippines, in line with the standards set by the World Organisation for Animal Health (WOAH).</t>
  </si>
  <si>
    <t>Live Animals (HS code(s): 01); Animal husbandry and breeding (ICS code(s): 65.020.30); Meat and meat products (ICS code(s): 67.120.10); Animal and vegetable fats and oils (ICS code(s): 67.200.10)</t>
  </si>
  <si>
    <t>01 - LIVE ANIMALS; 0103 - Live swine; 0203 - Meat of swine, fresh, chilled or frozen</t>
  </si>
  <si>
    <t>65.020.30 - Animal husbandry and breeding; 67.120.10 - Meat and meat products; 67.200.10 - Animal and vegetable fats and oils</t>
  </si>
  <si>
    <t>Food safety (SPS); Animal health (SPS); Protect territory from other damage from pests (SPS)</t>
  </si>
  <si>
    <t>Animal diseases; African swine fever (ASF); Animal health; Food safety; Human health</t>
  </si>
  <si>
    <r>
      <rPr>
        <sz val="11"/>
        <rFont val="Calibri"/>
      </rPr>
      <t>https://members.wto.org/crnattachments/2026/SPS/PHL/26_00461_00_e.pdf</t>
    </r>
  </si>
  <si>
    <t>Regulation governing the registration, use and control of fertilizers, stimulants, soil amendments, raw materials and related substances for agricultural and garden useThe Republic of Honduras hereby advises that the final date for comments or observations concerning notification G/SPS/N/HND/16/Add.1 of 24 November 2025, on the "Regulation governing the registration, use and control of fertilizers, stimulants, soil amendments, raw materials and related substances for agricultural and garden use", has been extended to 22 February 2026.https://sde.gob.hn/wp-content/uploads/2025/11/REGLAMENTO-PARA-EL-EL-REGISTRO-USO-Y-CONTROL-DE-FERTILIZANTES-ESTIMULANTES-ENMIENDAS-MATERIAS-PRIMAS-Y-SUSTANCIAS-AFINES-PARA-USO-AGRICOLA-Y-JARDINERIA.pdf</t>
  </si>
  <si>
    <t>Fertilizers and agricultural raw materials</t>
  </si>
  <si>
    <t>31 - FERTILIZERS; 31 - FERTILIZERS</t>
  </si>
  <si>
    <t>Modification of final date for comments; Plant health; Plant health</t>
  </si>
  <si>
    <r>
      <rPr>
        <sz val="11"/>
        <rFont val="Calibri"/>
      </rPr>
      <t>https://sde.gob.hn/wp-content/uploads/2025/11/REGLAMENTO-PARA-EL-EL-REGISTRO-USO-Y-CONTROL-DE-FERTILIZANTES-ESTIMULANTES-ENMIENDAS-MATERIAS-PRIMAS-Y-SUSTANCIAS-AFINES-PARA-USO-AGRICOLA-Y-JARDINERIA.pdf</t>
    </r>
  </si>
  <si>
    <t>Regulation on the production, processing, marketing, registration and control of organic agriculture</t>
  </si>
  <si>
    <t>The Republic of Honduras hereby advises that the comment period for the Regulation on the production, processing, marketing, registration and control of organic agriculture, notified in document G/TBT/N/HND/52/Add.1 on 24 November 2025, has been extended until 22 February 2026.The full text is available from:Secretaría de Desarrollo Económico (Secretariat of Economic Development)1 This information can be provided by including a website address, a PDF attachment, or other information on where the text of the final/modified measure and/or interpretative guidance can be obtained.G/TBT/N/HND/52/Add.2- 2 -Dirección General de Integración Económica y Política Comercial (Directorate-General of Economic Integration and Trade Policy)Centro Cívico Gubernamental "José Cecilio del Valle", Nivel 9 - Torre 1Tel.: (+504) 2242-8365Email: gabriela.salinas@sde.gob.hn; gsalinas_sic@yahoo.comWebsite: https://sde.gob.hn/wp-content/uploads/2025/11/REGLAMENTO-PARA-LA-PRODUCCION-PROCESAMIENTO-COMERCIALIZACION-REGISTRO-Y-CONTROL-DE-LA-AGRICULTURA-ORGANICA.pdf__________</t>
  </si>
  <si>
    <t>65.020 - Farming and forestry</t>
  </si>
  <si>
    <t>Proposal M1023 – 2024 MRL Harmonisation Proposal: Call for submissions report, and supporting documentation</t>
  </si>
  <si>
    <t>This Proposal seeks to amend Schedule 20 of the Australia New Zealand Food Standards Code to align maximum residue limits (MRLs) relating to residues of agricultural and veterinary (agvet) chemicals in food with: (a) the Australian Pesticide and Veterinary Medicines Authority MRL Standard; (b) Codex Alimentarius Commission; and (c) other trading partner standards, following a rigorous assessment that the MRL is scientifically justified, risk-based, transparent as well as non-discriminatory.This Proposal also includes corrections of typographical and formatting errors, necessary to improve the integrity of Schedule 20.For further information, please contact the MRL Team at FSANZ (MRL.contact@foodstandards.gov.auAgvet chemicals where increased or new MRLs are being considered for specified plant commodities: Benzovindiflupyr, Bifenthrin, Boscalid, Broflanilide, Captan, Carbendazim, Carbofuran, Carfentrazone-ethyl, Chlorantraniliprole, Clofentezine, Clothianidin, Cyantraniliprole, Cyflufenamid, Cyflumetofen, Cyhexatin, Cypermethrin, Cyprodinil, Deltamethrin, Diafenthiuron, Difenoconazole, Diflubenzuron, Dimethenamid-P, Dimpropyridaz, Dinocap, Diuron, Emamectin, Etofenprox, Fenamidone, Fenbuconazole, Fenbutatin oxide, Florylpicoxamid, Flubendiamide, Fluopyram, Flutianil, Fluxapyroxad, Folpet, Fomesafen, Hexythiazox, Imazapyr, Indaziflam, Iprodione, Isocycloseram, Isoflucypram, Isotianil, Mefentrifluconazole, Mepiquat, Metalaxyl, Methiocarb, Metolachlor, Metsulfuron-methyl, Milbemectin, Napropamide, Novaluron, Oxathiapiprolin, Pendimethalin, Phorate, Phosmet, Pirimicarb, Prochloraz, Propiconazole, Pymetrozine, Pyridaben, Pyrimethanil, Pyriproxyfen, Pyroxasulfone, Quizalofop-P-tefuryl, Spiromesifen, Spiropidion, Sulfoxaflor, Tebuconazole, Tetraniliprole, Thiabendazole, Thiophanate-methyl, Tiafenacil, Trichlorfon, Tricyclazole and Triflumuron.Agvet chemicals where increased or new MRLs are being considered for specified animal commodities: 1,4-dimethylnaphthalene, Cyantraniliprole, Florylpicoxamid, Fluopyram, Fluxapyroxad, Isocycloseram, Isotianil, Mepiquat, Methiocarb, Nicarbazin, Propiconazole, Pyrimethanil, Tetracycline and Tricyclazole.Agvet chemicals where deletions or reductions in MRLs are being proposed for specified plant commodities: Afidopyropen, Carbofuran, Chlorantraniliprole, Cyantraniliprole, Cyflumetofen, Cypermethrin, Difenoconazole, Diquat, Florylpicoxamid, Fluopyram, Fluxapyroxad, Glyphosate, Haloxyfop, Imidacloprid, Indoxacarb, Ioxynil, Iprodione, Linuron, Lufenuron, Metalaxyl, Methiocarb, Naphthalene acetic acid, Napropamide, Novaluron, Oxathiapiprolin, Penthiopyrad, Pyraclostrobin, Pyridaben, Pyrimethanil, Sulfoxaflor, Tebuconazole, Tetracycline and Thiabendazole.Agvet chemicals where deletions or reductions in MRLs are being proposed for specified animal commodities: Lufenuronand Tetracycline.New chemicals proposed for inclusion in schedule 20 of the Australia New Zealand Food Standards Code are: Isoflucypram and Tricyclazole.Agvet chemicals where consequential amendments were required to (a) add or remove exceptions for some commodities; (b) correct typographical errors; (c) convert a temporary MRL to a permanent MRL; (d) amend or update the commodity name; but there are no changes made to MRLs: Acequinocyl, Afidopyropen, Azoxystrobin, Benzovindiflupyr, Bifenazate, Bifenthrin, Boscalid, Broflanilide, Bromacil, Captan, Carbaryl, Carfentrazone-ethyl, Chlorantraniliprole, Clothianidin, Cyflumetofen, Cyfluthrin, Cyhalothrin, Cypermethrin, Cyprodinil, Dicamba, Difenoconazole, Dodine, Fenbutatin oxide, Fenoxycarb, Flonicamid, Fluazifop-p-butyl, Flubendiamide, Fludioxonil, Fluopyram, Fluquinconazole, Flutriafol, Glyphosate, Hexythiazox, Imazalil, Imazapyr, Indoxacarb, Iprodione, Isocycloseram, Isofetamid, Lufenuron, Mefentrifluconazole, Metalaxyl, Metamitron, Metolachlor, Myclobutanil, Napropamide, Paclobutrazol, Pendimethalin, Phorate, Phosmet, Pydiflumetofen, Pyraclostrobin, Pyridaben, Pyrimethanil, Pyriproxyfen, Pyroxasulfone, Quizalofop-P-tefuryl, Spinetoram, Spiropidion, Sulfoxaflor, Tebufenozide, Tebufenpyrad, Tetraniliprole, Tiafenacil, Trichlorfon, Triforine.Agvet chemical where the residue definition is being updated: Azocyclotin, Cyhexatin and DicambaAgvet chemicals where a new or amended All other foods except animal food commodities MRL is being proposed: Cyflufenamid, Fenbutatin oxide, Fomesafen, Indoxacarb, Lufenuron, Mepiquat, Metsulfuron-methyl, Pyridaben, spiromesifen, Triflumuron and Triforine.</t>
  </si>
  <si>
    <t>Late July 2026</t>
  </si>
  <si>
    <t>Date of gazettal and registration as a legislative instrument, pending Government consideration (see 10. above).</t>
  </si>
  <si>
    <r>
      <rPr>
        <sz val="11"/>
        <rFont val="Calibri"/>
      </rPr>
      <t>https://www.foodstandards.gov.au/food-standards-code/proposals/m1023-2024-mrl-harmonisation-proposal</t>
    </r>
  </si>
  <si>
    <t>The scientific methodology used by Australia to establish MRLs is consistent with international best practice. Countries set MRLs according to the good agricultural practice (GAP) or good veterinary practice (GVP) applicable to their region. Agricultural and veterinary chemical use patterns differ between different production regions and countries as pests, diseases and environmental factors vary. This means that Australian MRLs for agricultural and veterinary chemicals in food may differ from Codex standards.</t>
  </si>
  <si>
    <t>Central American Technical Regulation (RTCA) 97.01.81:22: Electrical products. Household refrigerators and freezers. Energy efficiency specifications.</t>
  </si>
  <si>
    <t>The request submitted by PSCR EXPORTADORA S.A. has been accepted, and an exemption from compliance with Technical Note No. 389 has been granted. This exemption from Technical Note No. 389 applies EXCLUSIVELY to the products specified and is valid for a period of two (2) years from the date of notification of this Resolution.__________1 This information can be provided by including a website address, a PDF attachment, or other information on where the text of the final/modified measure and/or interpretative guidance can be obtained.</t>
  </si>
  <si>
    <t>Domestic refrigerating appliances (ICS code(s): 97.040.30)</t>
  </si>
  <si>
    <t>97.040.30 - Domestic refrigerating appliances; 97.040.30 - Domestic refrigerating appliances</t>
  </si>
  <si>
    <r>
      <rPr>
        <sz val="11"/>
        <rFont val="Calibri"/>
      </rPr>
      <t>https://members.wto.org/crnattachments/2026/TBT/CRI/final_measure/26_00458_00_s.pdf</t>
    </r>
  </si>
  <si>
    <t>Commission Implementing Regulation (EU) 2026/90 of 14 January 2026 concerning the authorization of L-arginine produced with Corynebacterium glutamicum KCCM 80393 as a feed additive for all animal species (Text with EEA relevance)</t>
  </si>
  <si>
    <t>This Regulation authorizes for the first time in the European Union and for a period of 10 years L-arginine produced with Corynebacterium glutamicum KCCM 80393 as a feed additive belonging to the category “nutritional additives” and in the functional group “amino acids, their salts and analogues” for all animal species. This authorization is based on the favourable conclusions of a scientific assessment of the dossier submitted by the applicant, conducted by the European Food Safety Authority (EFSA). The terms of the authorization are detailed in the Annex to the Act.</t>
  </si>
  <si>
    <r>
      <rPr>
        <sz val="11"/>
        <rFont val="Calibri"/>
      </rPr>
      <t>https://members.wto.org/crnattachments/2026/SPS/EEC/26_00480_00_e.pdf
https://members.wto.org/crnattachments/2026/SPS/EEC/26_00480_00_f.pdf
https://members.wto.org/crnattachments/2026/SPS/EEC/26_00480_00_s.pdf</t>
    </r>
  </si>
  <si>
    <t>Regulation governing the registration, use and control of fertilizers, stimulants, soil amendments, raw materials and related substances for agricultural and garden use</t>
  </si>
  <si>
    <t>The Republic of Honduras hereby advises that the comment period for the Regulation governing the registration, use and control of fertilizers, stimulants, soil amendments, raw materials and related substances for agricultural and garden use, notified in document G/TBT/N/HND/53/Add.1 on 24 November 2025, has been extended until 22 February 2026.__________1 This information can be provided by including a website address, a PDF attachment, or other information on where the text of the final/modified measure and/or interpretative guidance can be obtained.</t>
  </si>
  <si>
    <t>Partial amendment to the Standards for Biological Raw Materials</t>
  </si>
  <si>
    <t>The Standards for Ruminant-Derived Raw Materials in the Standards for Biological Raw Materials (the notification No.210 of MHLW, 2003) shall be partially amended as follows: To exclude “backbone” and “skull” derived from cattle aged 30 months or younger from the list of parts prohibited for use as raw materials for drugs, etc.To update the description regarding the country of origin based on the revision of countries in which the risk of BSE pathogen propagation is considered negligible by the World Organisation for Animal Health, including the removal of references of Canadian-origin materials.</t>
  </si>
  <si>
    <t>Drug, quasi-drug, cosmetic, medical device and regenerative medical product (hereinafter referred as “drugs, etc.”) (HS 30, HS 33).</t>
  </si>
  <si>
    <t>30 - PHARMACEUTICAL PRODUCTS; 33 - ESSENTIAL OILS AND RESINOIDS; PERFUMERY, COSMETIC OR TOILET PREPARATIONS</t>
  </si>
  <si>
    <t>To provide guidance for necessary measures to be taken when biological raw materials are used in manufacturing drugs, etc.</t>
  </si>
  <si>
    <r>
      <rPr>
        <sz val="11"/>
        <rFont val="Calibri"/>
      </rPr>
      <t>https://members.wto.org/crnattachments/2026/TBT/JPN/26_00463_00_e.pdf</t>
    </r>
  </si>
  <si>
    <t>The Law on Securing Quality, Efficacy and Safety of Products Including Pharmaceuticals and Medical Devices. This amendment will be published in “KAMPO” (Official  Gazette) when adopted.</t>
  </si>
  <si>
    <t>Letter of the Federal Service for Veterinary and Phytosanitary Surveillance No. FS-ARe-7/6950-3 as of 21 January 2026</t>
  </si>
  <si>
    <t>This letter introduces temporary restrictions on the imports of products mentioned in point 3 to the Russian Federation, as well as on the transit of cattle, small cattle and animals susceptible to bluetongue through the territory of the Russian Federation from Tunisia due to the registration of bluetongue disease outbreaks.</t>
  </si>
  <si>
    <t>Animal health; Animal diseases; Bluetongue</t>
  </si>
  <si>
    <t>Tunisia</t>
  </si>
  <si>
    <r>
      <rPr>
        <sz val="11"/>
        <rFont val="Calibri"/>
      </rPr>
      <t>https://members.wto.org/crnattachments/2026/SPS/RUS/26_00464_00_x.pdf
https://fsvps.gov.ru/files/ukazanie-rosselhoznadzora-ot-21-janvarja-2026-goda-fs-arje-7-6950-3/</t>
    </r>
  </si>
  <si>
    <t>Requisitos fitosanitarios para la importación de semillas de girasol (Helianthus annuus) destino propagación provenientes de Costa Rica, hacia la República Argentina (Phytosanitary requirements for the importation into the Argentine Republic of sunflower (Helianthus annuus) seeds for propagation originating in Costa Rica)</t>
  </si>
  <si>
    <t>The notified document sets out the phytosanitary requirements for the importation of sunflower seeds originating in Costa Rica, free of Conyza canadensis and Chenopodium strictum.</t>
  </si>
  <si>
    <t>Sunflower (Helianthus annuus) seeds for propagation</t>
  </si>
  <si>
    <r>
      <rPr>
        <sz val="11"/>
        <rFont val="Calibri"/>
      </rPr>
      <t>https://members.wto.org/crnattachments/2026/SPS/ARG/26_00455_00_s.pdf</t>
    </r>
  </si>
  <si>
    <t>G/SPS/N/ARG/277- 2 -</t>
  </si>
  <si>
    <t>Partial amendment to the Sanitary Technical Regulation on good practices for storage, distribution and/or transportation for pharmaceutical establishments and establishments manufacturing medical devices for human use</t>
  </si>
  <si>
    <t>The Republic of Ecuador hereby notifies that the National Agency for Health Surveillance, Regulation and Control (ARCSA, Doctor Leopoldo Izquieta Pérez) has issued the partial amendment to the Sanitary Technical Regulation on good practices for storage, distribution and/or transportation for pharmaceutical establishments and establishments manufacturing medical devices for human use, which entered into force on 14 January 2026.Contact details of agency or authority designated to handle comments regarding the notification:Agency:Ministerio de Producción, Comercio Exterior, Inversiones y Pesca, MPCEIP (Ministry of Production, Foreign Trade, Investment and Fisheries)Subsecretaría de la Calidad (Under-Secretariat for Quality)Primary enquiry point:Cristian Eduardo Yépez JaramilloPlataforma Gubernamental de Gestión FinancieraAv. Amazonas entre Unión Nacional de Periodistas y Alfonso PereiraPiso 8Bloque amarilloQuito EC170522Tel.: (+593 2) 3948760, Ext. 2254 or 2252Email: puntocontacto-otcecu@produccion.gob.ec; puntocontactoecu@gmail.com; cyepez@produccion.gob.ecWebsite: http://www.produccion.gob.ec.__________</t>
  </si>
  <si>
    <t>Proyecto de reforma parcial a la Normativa Técnica Sanitaria de Buenas Prácticas de Almacenamiento, Distribución y/o Transporte para establecimientos farmacéuticos y establecimientos de dispositivos médicos de uso humano (Draft Partial Amendment to the Sanitary Technical Regulation on good practices for storage, distribution and/or transportation for pharmaceutical establishments and establishments manufacturing medical devices for human use)</t>
  </si>
  <si>
    <r>
      <rPr>
        <sz val="11"/>
        <rFont val="Calibri"/>
      </rPr>
      <t xml:space="preserve">https://members.wto.org/crnattachments/2026/TBT/ECU/modification/26_00460_00_s.pdf
La resolución tiene como finalidad modificar el tiempo de vigencia de la notificación de las contrataciones del servicio de almacenamiento
 distribución y transporte
 estableciéndose en un (1) año contado a partir de la emisión de la notificación de contratación de servicios; así como la modificación de la Disposición Quinta y del requisito referente al contrato de prestación de servicios contemplado en los anexos 1
 2
 3 y 4
</t>
    </r>
  </si>
  <si>
    <t>Commission Implementing Regulation (EU) 2026/108 of 16 January 2026 concerning the authorization of ponceau 4R as a feed additive for its use in baits for freshwater food-producing finfish (Text with EEA relevance)</t>
  </si>
  <si>
    <t>This Regulation authorizes for the first time in the European Union and for a period of 10 years ponceau 4R as a feed additive belonging to the category “sensory additives” and in the functional group “colourants, (i) substances that add or restore colour in feedingstuffs” for its use in baits for freshwater food-producing finfish. This authorization is based on the favourable conclusions of a scientific assessment of the dossier submitted by the applicant, conducted by the European Food Safety Authority (EFSA). The terms of the authorization are detailed in the Annex to the Act.</t>
  </si>
  <si>
    <r>
      <rPr>
        <sz val="11"/>
        <rFont val="Calibri"/>
      </rPr>
      <t>https://members.wto.org/crnattachments/2026/SPS/EEC/26_00479_00_e.pdf
https://members.wto.org/crnattachments/2026/SPS/EEC/26_00479_00_f.pdf
https://members.wto.org/crnattachments/2026/SPS/EEC/26_00479_00_s.pdf</t>
    </r>
  </si>
  <si>
    <t>DA Department Circular No. 15, Series of 2025: Guidelines Governing the Phytosanitary Requirements for International Movement of Seeds for Planting and Research Purposes</t>
  </si>
  <si>
    <t>The guideline describes the phytosanitary requirements for the importation and exportation of seeds for planting and research purposes, recognizing the need to translate ISPM 38 into a national law to harmonizing approaches in managing risks associated with international seed movement.</t>
  </si>
  <si>
    <t>Oil seeds and oleaginous fruits; Miscellaneous grains, seeds and fruit; Industrial or medicinal plants; Straw and fodder (HS code(s): 12)</t>
  </si>
  <si>
    <t>12 - OIL SEEDS AND OLEAGINOUS FRUITS; MISCELLANEOUS GRAINS, SEEDS AND FRUIT; INDUSTRIAL OR MEDICINAL PLANTS; STRAW AND FODDER</t>
  </si>
  <si>
    <r>
      <rPr>
        <sz val="11"/>
        <rFont val="Calibri"/>
      </rPr>
      <t>https://members.wto.org/crnattachments/2026/SPS/PHL/26_00365_00_e.pdf</t>
    </r>
  </si>
  <si>
    <t>Draft Resolution 1362, 11 December 2025</t>
  </si>
  <si>
    <t>This draft resolution  proposes regulatory requirements for Good Practices, Hazard Analysis and Critical Control Point (HACCP) principles, and Standard Operating Procedures (SOPs) to be implemented in the food production chain.</t>
  </si>
  <si>
    <r>
      <rPr>
        <sz val="11"/>
        <rFont val="Calibri"/>
      </rPr>
      <t>https://members.wto.org/crnattachments/2026/SPS/BRA/26_00431_00_x.pdf
Draft: https://anvisalegis.datalegis.net/action/UrlPublicasAction.php?acao=abrirAtoPublico&amp;num_ato=00001362&amp;sgl_tipo=CPB&amp;sgl_orgao=ANVISA/MS&amp;vlr_ano=2025&amp;seq_ato=222&amp;cod_modulo=134&amp;cod_menu=1696
Comment form: https://pesquisa.anvisa.gov.br/index.php/691324?lang=pt-BR</t>
    </r>
  </si>
  <si>
    <t>National Annexes (NA) to Eurocode 2  “Design of concrete structures” </t>
  </si>
  <si>
    <t>This national draft of Eurocode 2, including its relevant parts and respective National Annexes, is proposed as the national standard for the design of concrete structures. </t>
  </si>
  <si>
    <t>Technical aspects (ICS code(s): 91.010.30); Concrete structures (ICS code(s): 91.080.40)</t>
  </si>
  <si>
    <t>91.010.30 - Technical aspects; 91.080.40 - Concrete structures</t>
  </si>
  <si>
    <t>Law of Georgia - Product Safety and Free Movement Code;EN 1992 parts - Design of concrete structures. </t>
  </si>
  <si>
    <t>Modificación del Decreto Supremo N°66 de 2007 del entonces Ministerio de Economía, Fomento y Reconstrucción que Aprueba Reglamento de Instalaciones Interiores y Medidores de Gas.</t>
  </si>
  <si>
    <t>1.1. The notified regulatory amendment incorporates regulations on new technologies such as multilayer cross-linked polyethylene piping systems, which are used for indoor gas installations. 1.2. The text makes it mandatory for marketers and distributors of multilayer piping to ensure the availability of system installation manuals, and incorporates articles regulating requirements for the installation and operation of multilayer piping and related joints and fittings.</t>
  </si>
  <si>
    <t>Instalaciones interiores de gas</t>
  </si>
  <si>
    <t>23.040.20 - Plastics pipes</t>
  </si>
  <si>
    <r>
      <rPr>
        <sz val="11"/>
        <rFont val="Calibri"/>
      </rPr>
      <t>https://members.wto.org/crnattachments/2026/TBT/CHL/26_00434_00_s.pdf</t>
    </r>
  </si>
  <si>
    <t>Decreto N° 66, de 2007, del Ministerio de Economía, Fomento y Reconstrucción, que aprueba reglamento de instalaciones interiores y medidores de red. https://bcn.cl/3lepd</t>
  </si>
  <si>
    <t>DEAS 1310: 202,Scientific substantiation of health claims—Guidelines, First edition </t>
  </si>
  <si>
    <t>These guidelines provide basis for evaluation of health claims with a view of substantiating health claims. It applies to health claims specified in EAS 805._x000D_
These guidelines cover types of health claims, criteria and process for the substantiation of health claims, consideration of the evidence, specific safety concerns, complaint, feedback to Food Business Operators,_x000D_
communication and re-evaluation of health claims_x000D_
These guidelines include consideration of safety in the evaluation of proposed health claims, but are not intended for the complete evaluation of the safety and the quality of a food, for which relevant provisions are_x000D_
laid out by other Regional Standards and Guidelines or general rules of existing national legislations._x000D_
These guidelines should be read in conjunction with the Working Principles for Risk Analysis for Food Safety for Application by Governments (CXG 62: 2007)_x000D_
These guidelines are not applicable to foods and their health claims intended for population of 36 months old and below.Note: This Draft Tanzania Standard was also notified under SPS committee.</t>
  </si>
  <si>
    <t>Food preparations, n.e.s. (HS code(s): 2106); Public information symbols. Signs. Plates. Labels (ICS code(s): 01.080.10)</t>
  </si>
  <si>
    <t>2106 - Food preparations, n.e.s.</t>
  </si>
  <si>
    <t>01.080.10 - Public information symbols. Signs. Plates. Labels</t>
  </si>
  <si>
    <t>Labelling; Food standards</t>
  </si>
  <si>
    <r>
      <rPr>
        <sz val="11"/>
        <rFont val="Calibri"/>
      </rPr>
      <t>https://members.wto.org/crnattachments/2026/TBT/TZA/26_00447_00_e.pdf</t>
    </r>
  </si>
  <si>
    <t>EAS 804, Claims on foods ― General requirementsEAS 805, Use of nutrition and health claims ― RequirementsCXG 62-2007, Working Principles for Risk Analysis for Food Safety for Application by Governments</t>
  </si>
  <si>
    <t>Amendments to the Technical Regulation of the Customs Union "On the safety of perfumery and cosmetic products" (TR TC 009/2011)</t>
  </si>
  <si>
    <t>Updating of Annexes 1-5 to the Technical Regulation of the Customs Union "On the safety of perfumery and cosmetic products" (TR TC 009/2011) </t>
  </si>
  <si>
    <t xml:space="preserve">Perfume and cosmetic products_x000D_
_x000D_
</t>
  </si>
  <si>
    <t>Not less than 180 days from adoption of the  amendments to the technical regulation.</t>
  </si>
  <si>
    <r>
      <rPr>
        <sz val="11"/>
        <rFont val="Calibri"/>
      </rPr>
      <t>https://members.wto.org/crnattachments/2026/TBT/KGZ/26_00443_00_x.pdf</t>
    </r>
  </si>
  <si>
    <t>The Technical Regulation of the Customs Union "On the safety of perfumery and cosmetic products"_x000D_
https://eec.eaeunion.orq/comission/department/deotexreq/tr/bezopParfum.phQ</t>
  </si>
  <si>
    <t>DEAS 1309: 2025,Fortified yoghurt— Specification,First edition </t>
  </si>
  <si>
    <t>This Draft East African standard specifies requirements, sampling and test methods for fortified yoghurt, fortified alternate culture yoghurt and fortified acidophilus milk intended for human consumption._x000D_
This standard only covers fortified yoghurt products from animal source milkNote: This Draft Tanzania Standard was also notified under SPS committee.</t>
  </si>
  <si>
    <t>Buttermilk, curdled milk and cream, yogurt, kephir and other fermented or acidified milk and cream, whether or not concentrated or flavoured or containing added sugar or other sweetening matter, fruit, nuts or cocoa, and yogurt may additionally contain chocolate, spices, coffee, plants or cereals (HS code(s): 0403); Other milk products (ICS code(s): 67.100.99)</t>
  </si>
  <si>
    <t>0403 - Buttermilk, curdled milk and cream, yogurt, kephir and other fermented or acidified milk and cream, whether or not concentrated or flavoured or containing added sugar or other sweetening matter, fruit, nuts or cocoa, and yogurt may additionally contain chocolate, spices, coffee, plants or cereals</t>
  </si>
  <si>
    <t>67.100.99 - Other milk products</t>
  </si>
  <si>
    <r>
      <rPr>
        <sz val="11"/>
        <rFont val="Calibri"/>
      </rPr>
      <t>https://members.wto.org/crnattachments/2026/TBT/TZA/26_00446_00_e.pdf</t>
    </r>
  </si>
  <si>
    <t>CXC 57, Code of hygienic practice for milk and milk productsCXG 66, Guidelines for the Use of FlavouringsCXS 192, General standard for food additivesEAS 38, Labelling of pre-packaged foods — General requirementsEAS 39, Hygiene in the food and drink manufacturing industry — Code of practiceEAS 803, Nutrition labelling — RequirementsEAS 804, Claims on food — General requirementsEAS 805, Use of nutrition and health claims — RequirementsISO 11290-1, Microbiology of the food chain — Horizontal method for the detection and enumeration of Listeria monocytogenes and of Listeria spp. — Part 1: Detection methodISO 13580, Yogurt — Determination of total solids content (Reference method)ISO 14501, Milk and milk powder — Determination of aflatoxin M1 content — Clean-up by immunoaffinity chromatography and determination by high-performance liquid chromatographyISO 20128, Milk products — Enumeration of presumptive Lactobacillus acidophilus on a selective medium — Colony-count technique at 37 degrees CISO 22662, Milk and milk products — Determination of lactose content by high-performance liquid chromatography (reference method)ISO 23318, Milk, dried milk products and cream — Determination of fat content — Gravimetric methodISO 29981, Milk products — Enumeration of presumptive bifidobacteria — Colony count technique at 37 degrees CISO 4832, Microbiology of food and animal feeding stuffs — Horizontal method for the enumeration of coliforms — Colony-count techniqueISO 6579-1, Microbiology of the food chain — Horizontal method for the detection, enumeration and serotyping of Salmonella: Part 1: Detection of Salmonella spp.ISO 6611, Milk and milk products — Enumeration of colony-forming units of yeasts and/or moulds — Colony- count technique at 25 degrees CISO 6888-1, Microbiology of the food chain — Horizontal method for the enumeration of coagulase-positive staphylococci (Staphylococcus aureus and other species) — Part 1: Method using Baird-Parker agar mediumISO 707, Milk and milk products — Guidance on samplingISO 7889, Yogurt — Enumeration of characteristic microorganisms — Colony-count technique at 37 degreesISO 8968-1, Milk and milk products — Determination of nitrogen content — Part 1: Kjeldahl principle and crude protein calculationISO/TS 11869, Fermented milks — Determination of titratable acidity — Potentiometric methodISO/TS 6733, Milk and milk products — Determination of lead content — Graphite furnace atomic absorption spectrometric method</t>
  </si>
  <si>
    <t>Hygiene affairs and food safety – Microbiological criteria for foodstuffs, Part 3: Spices, condiments and their products</t>
  </si>
  <si>
    <t>This Jordanian standard is concerned with the microbiological criteria for spices, condiments, and their products listed in Table (1).</t>
  </si>
  <si>
    <t>Food microbiology (ICS code(s): 07.100.30); Spices and condiments (ICS code(s): 67.220.10)</t>
  </si>
  <si>
    <t>07.100.30 - Food microbiology; 67.220.10 - Spices and condiments</t>
  </si>
  <si>
    <r>
      <rPr>
        <sz val="11"/>
        <rFont val="Calibri"/>
      </rPr>
      <t>https://jsmo.gov.jo/EBV4.0/Root_Storage/AR/DJS_2013-3_2026.pdf</t>
    </r>
  </si>
  <si>
    <t>- EN COMMISSION REGULATION (EC) No 2073/2005 on microbiological criteria for foodstuffs 02005R2073 — EN — 08.03.2020 — 009.001- GSO Technical regulation 1016:2015 Microbiological Criteria for Foodstuffs- UAE.S Technical regulation 1016:2017 Microbiological Criteria for Foodstuffs- Syrian Standard 2179:2025- REGULATION ON TURKISH FOOD CODEX 28157:2011 MICROBIOLOGICAL CRITERIA- Technical regulations for microbiological criteria of foodstuffs issued by the Egyptian National Food Safety Authority in 2021.</t>
  </si>
  <si>
    <t>AFDC 13(3903), Non - cereal based alcoholic beverages — Specification,DTZS,First edition </t>
  </si>
  <si>
    <t>This Tanzania Standard specifies requirements and methods of sampling and test for non-cereal based alcoholic beverages produced by fermentation of soluble extracts of non-cereal ingredients._x000D_
This Tanzania Standard does not include requirements for wines, ulanzi, kombucha and roselle alcoholic drinks which are covered in specific Tanzania standards.Note: This Draft Tanzania Standard was also notified under SPS committee.</t>
  </si>
  <si>
    <t>BEVERAGES, SPIRITS AND VINEGAR (HS code(s): 22); Alcoholic beverages (ICS code(s): 67.160.10)</t>
  </si>
  <si>
    <t>22 - BEVERAGES, SPIRITS AND VINEGAR</t>
  </si>
  <si>
    <r>
      <rPr>
        <sz val="11"/>
        <rFont val="Calibri"/>
      </rPr>
      <t>https://members.wto.org/crnattachments/2026/TBT/TZA/26_00449_00_e.pdf</t>
    </r>
  </si>
  <si>
    <t>CXS 192, General standards for food additivesTZS 4, Rounding off numerical valuesTZS 59, Water for analytical laboratory use — Specification and test methodTZS 76, General method for determination of arsenic silver diethyldithiocarmate photometric methodTZS 101, Refined white sugar— SpecificationTZS 109, General principles of food hygiene — Code of practiceTZS 118, Microbiology of food and animal feeding stuffs — Horizontal method for the enumeration of microorganisms - Colony-count technique at 30oCTZS 119, General guidance for the enumeration of Coliforms — Most Probable Number Technique (MPN)TZS 131, Microbiology of food and animal feeding stuff - General guidance for enumeration of yeasts and moulds — Colony count technique at 25oCTZS 268, General atomic absorption spectrophotometric method for determination of lead in food and food stuffs.TZS 471, Methods of sampling and tests for alcoholic beveragesTZS 538, Pre -packaged food labeling — General requirementsTZS 789, Potable water— SpecificationTZS 831, Brown sugar — SpecificationTZS 1491, Fruits and vegetables products —Determination of pH</t>
  </si>
  <si>
    <t>Letter by the Federal Service for Veterinary and Phytosanitary Surveillance No. FS-ARe-7/6899-3 of 29 December 2025</t>
  </si>
  <si>
    <t>This letter introduces temporary restrictions on imports of live sheep and goats and products derived thereof to the Russian Federation, as well as on the transit of animals susceptible to peste des petits ruminants (PPR) through the territory of the Russian Federation from Croatia due to the outbreak of PPR in the country indicated.</t>
  </si>
  <si>
    <t>Live sheep and goats; genetic material of sheep and goats; products derived from sheep and goats that were not subject to the use of technologies providing destruction of PPR in accordance with the WOAH Terrestrial Animal Health Code (HS code(s): 0104; 0106; 0204; 0206; 0210; 0401; 0402; 0403; 0404; 0405; 0406; 0506; 0507; 051199; 1502; 1503; 1505; 1506; 151610; 1518; 1601; 1602; 1603; 190220)</t>
  </si>
  <si>
    <t>0104 - Live sheep and goats; 1602 - Prepared or preserved meat, meat offal, blood or insects (excl. sausages and similar products, and meat extracts and juices); 1601 - Sausages and similar products, of meat, meat offal, blood or insects; food preparations based on these products.; 1518 - Animal, vegetable or microbial fats and oils and their fractions, boiled, oxidised, dehydrated, sulphurised, blown, polymerised by heat in vacuum or in inert gas or otherwise chemically modified, excluding those of heading 15.16; inedible mixtures or preparations of animal, vegetable or microbial fats or oils or of fractions of different fats or oils of this Chapter, not elsewhere specified or included.; 151610 - Animal fats and oils and their fractions, partly or wholly hydrogenated, inter-esterified, re-esterified or elaidinised, whether or not refined, but not further prepared; 1506 - Other animal fats and oils and their fractions, whether or not refined, but not chemically modified.; 1505 - Wool grease and fatty substances derived therefrom (including lanolin).; 1503 - Lard stearin, lard oil, oleostearin, oleo-oil and tallow oil, not emulsified or mixed or otherwise prepared.; 1502 - Fats of bovine animals, sheep or goats (excl. oil and oleostearin); 051199 - Products of animal origin, n.e.s., dead animals, unfit for human consumption (excl. fish, crustaceans, molluscs or other aquatic invertebrates); 0507 - Ivory, tortoiseshell, whalebone and whalebone hair, horns, antlers, hooves, nails, claws and beaks, unworked or simply prepared; powder and waste of these products (excl. cut to shape); 0506 - Bones and horn-cores and their powder and waste, unworked, defatted, simply prepared, treated with acid or degelatinised (excl. cut to shape); 0406 - Cheese and curd; 0405 - Butter, incl. dehydrated butter and ghee, and other fats and oils derived from milk; dairy spreads; 0404 - Whey, whether or not concentrated or containing added sugar or other sweetening matter; products consisting of natural milk constituents, whether or not containing added sugar or other sweetening matter, n.e.s.; 0403 - Buttermilk, curdled milk and cream, yogurt, kephir and other fermented or acidified milk and cream, whether or not concentrated or flavoured or containing added sugar or other sweetening matter, fruit, nuts or cocoa, and yogurt may additionally contain chocolate, spices, coffee, plants or cereals; 0402 - Milk and cream, concentrated or containing added sugar or other sweetening matter; 0401 - Milk and cream, not concentrated nor containing added sugar or other sweetening matter; 0210 - Meat and edible offal, salted, in brine, dried or smoked; edible flours and meals of meat or meat offal; 0206 - Edible offal of bovine animals, swine, sheep, goats, horses, asses, mules or hinnies, fresh, chilled or frozen; 0204 - Meat of sheep or goats, fresh, chilled or frozen; 0106 - Live animals (excl. horses, asses, mules, hinnies, bovine animals, swine, sheep, goats, poultry, fish, crustaceans, molluscs and other aquatic invertebrates, and microorganic cultures etc.); 1603 - Extracts and juices of meat, fish or crustaceans, molluscs or other aquatic invertebrates.; 190220 - Pasta, stuffed with meat or other substances, whether or not cooked or otherwise prepared</t>
  </si>
  <si>
    <t>Animal health; Pests</t>
  </si>
  <si>
    <t>Croatia</t>
  </si>
  <si>
    <r>
      <rPr>
        <sz val="11"/>
        <rFont val="Calibri"/>
      </rPr>
      <t>https://members.wto.org/crnattachments/2026/SPS/RUS/26_00427_00_x.pdf
https://fsvps.gov.ru/files/ukazanie-rosselhoznadzora-ot-29-dekabrja-2025-goda-fs-arje-7-6899-3/</t>
    </r>
  </si>
  <si>
    <t>Agency Information Collection Activities; Proposed Collection; Comment Request; Required Warnings for Cigarette Packages and Advertisements</t>
  </si>
  <si>
    <t>The Food and Drug Administration (FDA or Agency) is announcing an opportunity for public comment on the proposed collection of certain information by the Agency. Under the Paperwork Reduction Act of 1995 (PRA), Federal Agencies are required to publish notice in the Federal Register concerning each proposed collection of information, including each proposed extension of an existing collection of information, and to allow 60 days for public comment in response to the notice. This notice solicits comments on the collection of information entitled, ''Required Warnings for Cigarette Packages and Advertisements.''Either electronic or written comments on the collection of information must be submitted by 17 February 2026.90 Federal Register (FR) 59533, 19 December 2025:_x000D_
https://www.govinfo.gov/content/pkg/FR-2025-12-19/html/2025-23474.htm_x000D_
https://www.govinfo.gov/content/pkg/FR-2025-12-19/pdf/2025-23474.pdfThis notice is identified by Docket Number FDA-2025-N-6076. The Docket Folder is available from Regulations.gov at https://www.regulations.gov/docket/FDA-2025-N-6076/document and provides access to primary documents as well as comments received. Documents are also accessible from Regulations.gov by searching the Docket Number. WTO Members and their stakeholders are asked to submit comments to the USA TBT Enquiry Point by or before 4pmEastern Time on 17 February 2026. Comments received by the USA TBT Enquiry Point from WTO Members and their stakeholders will be shared with FDA and will also be submitted to the Docket on Regulations.gov if received within the comment period.Previous actions notified under the symbol G/TBT/N/USA/1519 are identified by Docket Number FDA-2019-N-3065. The Docket Folder is available from Regulations.gov at https://www.regulations.gov/docket/FDA-2019-N-3065/document and provides access to primary and supporting documents as well as comments received. Documents are also accessible from Regulations.gov by searching the Docket Number.</t>
  </si>
  <si>
    <t>Packaging, tobacco products</t>
  </si>
  <si>
    <t>24 - TOBACCO AND MANUFACTURED TOBACCO SUBSTITUTES; 24 - TOBACCO AND MANUFACTURED TOBACCO SUBSTITUTES</t>
  </si>
  <si>
    <t>01.080 - Graphical symbols; 01.080 - Graphical symbols; 65.160 - Tobacco, tobacco products and related equipment; 65.160 - Tobacco, tobacco products and related equipment</t>
  </si>
  <si>
    <t>Packaging; Packaging</t>
  </si>
  <si>
    <r>
      <rPr>
        <sz val="11"/>
        <rFont val="Calibri"/>
      </rPr>
      <t>https://members.wto.org/crnattachments/2026/TBT/USA/26_00435_00_e.pdf</t>
    </r>
  </si>
  <si>
    <t>Commission Implementing Regulation (EU) 2025/2513 of 11 December 2025 concerning the authorisation of copper(II)-betaine complex as a feed additive for all animal species (Text with EEA relevance)</t>
  </si>
  <si>
    <t>This Regulation authorises for the first time in the European Union and for a period of ten years copper(II)-betaine complex as a feed additive belonging to the category ‘nutritional additives’ and in the functional group ‘compounds of trace elements’ for all animal species. This authorisation is based on the favourable conclusions of a scientific assessment of the dossier submitted by the applicant, conducted by the European Food Safety Authority (EFSA). The terms of the authorisation are detailed in the Annex to the Act.</t>
  </si>
  <si>
    <r>
      <rPr>
        <sz val="11"/>
        <rFont val="Calibri"/>
      </rPr>
      <t>https://members.wto.org/crnattachments/2026/SPS/EEC/26_00444_00_e.pdf
https://members.wto.org/crnattachments/2026/SPS/EEC/26_00444_00_f.pdf
https://members.wto.org/crnattachments/2026/SPS/EEC/26_00444_00_s.pdf</t>
    </r>
  </si>
  <si>
    <t>General animal health requirements for the importation of dairy products obtained from bovine, caprine or ovine milk for human consumption and for animal feed</t>
  </si>
  <si>
    <t>Establishes the general animal health requirements for the importation into Brazil of dairy products obtained from bovine, caprine or ovine milk and intended for human consumption and for animal feed.</t>
  </si>
  <si>
    <t>Dairy products obtained from bovine, caprine or ovine milk</t>
  </si>
  <si>
    <r>
      <rPr>
        <sz val="11"/>
        <rFont val="Calibri"/>
      </rPr>
      <t>https://members.wto.org/crnattachments/2026/SPS/BRA/26_00417_00_x.pdf</t>
    </r>
  </si>
  <si>
    <t>CGIEE Resolution Nº 6, 18 December 2026</t>
  </si>
  <si>
    <t> Draft resolution approving the specific regulation that defines the minimum energy efficiency indices for LED light sources.The relevant documents and information will be available on the Public Consultation Portal of the Ministry of Mines and Energy (https://consultas-publicas.mme.gov.br/home) and on the Participa + Brasil Electronic Portal (https://www.gov.br/participamaisbrasil/consultas-publicas</t>
  </si>
  <si>
    <t>ELECTRICAL MACHINERY AND EQUIPMENT AND PARTS THEREOF; SOUND RECORDERS AND REPRODUCERS, TELEVISION IMAGE AND SOUND RECORDERS AND REPRODUCERS, AND PARTS AND ACCESSORIES OF SUCH ARTICLES (HS code(s): 85)</t>
  </si>
  <si>
    <r>
      <rPr>
        <sz val="11"/>
        <rFont val="Calibri"/>
      </rPr>
      <t>https://members.wto.org/crnattachments/2026/TBT/BRA/26_00430_00_e.pdf
https://www.in.gov.br/en/web/dou/-/resolucao-cgiee-n-6-de-18-de-dezembro-de-2025-676852942</t>
    </r>
  </si>
  <si>
    <t>1) Brazilian Official Gazette 242 on 19 December 2025, section 1, page 173</t>
  </si>
  <si>
    <t>DEAS 1309: 2025, Fortified yoghurt - Specification, First Edition</t>
  </si>
  <si>
    <t>This Draft East African standard specifies requirements, sampling and test methods for fortified yoghurt, fortified alternate culture yoghurt and fortified acidophilus milk intended for human consumption._x000D_
This standard only covers fortified yoghurt products from animal source milk.Note: This Draft Tanzania Standard was also notified under TBT Committee.</t>
  </si>
  <si>
    <r>
      <rPr>
        <sz val="11"/>
        <rFont val="Calibri"/>
      </rPr>
      <t>https://members.wto.org/crnattachments/2026/SPS/TZA/26_00441_00_e.pdf</t>
    </r>
  </si>
  <si>
    <t>National Annexes (NA) to Eurocode 9 “Design of aluminium structures”.</t>
  </si>
  <si>
    <t>This national draft of Eurocode 9, including its relevant parts and respective National Annexes, is proposed as the national standard for the design of aluminium structures.</t>
  </si>
  <si>
    <t>Technical aspects (ICS code(s): 91.010.30); Aluminium structures (ICS code(s): 91.080.17)</t>
  </si>
  <si>
    <t>91.010.30 - Technical aspects; 91.080.17 - Aluminium structures</t>
  </si>
  <si>
    <t>Law of Georgia - Product Safety and Free Movement Code;EN 1999 parts - Design of steel structures.</t>
  </si>
  <si>
    <t>Food standards; Labelling</t>
  </si>
  <si>
    <t>Revision of the Specifications and Standards for Foods, Food Additives, Etc. Under the Food Sanitation Act</t>
  </si>
  <si>
    <t>Revision of the standards for use for Potassium Metabisulfite, Sodium Hydrosulfite, Sodium Metabisulfite, Sodium Sulfite, Sulfur Dioxide, and Zinc Gluconate based on the change of use amount of target foods and  the revision of a target food name.</t>
  </si>
  <si>
    <t>Food additives (Potassium Metabisulfite, Sodium Hydrosulfite, Sodium Metabisulfite, Sodium Sulfite, Sulfur Dioxide, and Zinc Gluconate)</t>
  </si>
  <si>
    <t>After a certain period of the final date for comments. </t>
  </si>
  <si>
    <t>As soon as possible after publication.</t>
  </si>
  <si>
    <r>
      <rPr>
        <sz val="11"/>
        <rFont val="Calibri"/>
      </rPr>
      <t>https://members.wto.org/crnattachments/2026/SPS/JPN/26_00445_00_e.pdf</t>
    </r>
  </si>
  <si>
    <t>AFDC 13(3903) DTZS, Non-cereal based alcoholic beverages —  specification, First Edition</t>
  </si>
  <si>
    <t>This Tanzania Standard specifies requirements and methods of sampling and test for non-cereal based alcoholic beverages produced by fermentation of soluble extracts of non-cereal ingredients._x000D_
This Tanzania Standard does not include requirements for wines, ulanzi, kombucha and roselle alcoholic drinks which are covered in specific Tanzania standards.Note: This Draft Tanzania Standard was also notified under TBT Committee.</t>
  </si>
  <si>
    <t>Beverages, spirits and vinegar (HS code(s): 22); Alcoholic beverages (ICS code(s): 67.160.10)</t>
  </si>
  <si>
    <r>
      <rPr>
        <sz val="11"/>
        <rFont val="Calibri"/>
      </rPr>
      <t>https://members.wto.org/crnattachments/2026/SPS/TZA/26_00442_00_e.pdf</t>
    </r>
  </si>
  <si>
    <t>DRAFT FRAMEWORK REGULATION ON ECODESIGN REQUIREMENTS FOR SUSTAINABLE PRODUCTS</t>
  </si>
  <si>
    <t>(1) This Regulation shall apply to all physical products, including components and intermediate products, that are placed on the market or put into service, with the exception of the following:a) Food as defined in paragraph 24 of the first clause of Article 3 of the Veterinary Services, Plant Health, Food and Feed Law, numbered 5996 and dated 11/6/2010.b) Feed as defined in paragraph 79 of the first clause of Article 3 of the Veterinary Services, Plant Health, Food and Feed Law, numbered 5996 and dated 11/6/2010.c) Medicinal products for human use as defined in subparagraph (b) of the first clause of Article 4 of the Regulation on the Licensing of Medicinal Products for Human Use, published in the Official Gazette numbered 31686 and dated 11/12/2021.ç) Veterinary medicinal products as defined in subparagraph (kk) of the first clause of Article 4 of the Regulation on Veterinary Medicinal Products, published in the Official Gazette numbered 28152 and dated 24/12/2011.d) Live plants, animals, and microorganisms.e) Products of human origin.f) Plant and animal products directly related to their future reproduction.g) Vehicles as defined in the second clause of Article 1 of the Regulation on Type-Approval and Market Surveillance of Agricultural and Forestry Vehicles (EU/167/2013), published in the Official Gazette numbered 29088 and dated 14/08/2014; the third clause of Article 1 of the Regulation on Type-Approval and Market Surveillance of Two- or Three-Wheel Vehicles and Quadricycles (EU/168/2013), published in the Official Gazette numbered 29453 and dated 22/08/2015; and the fourth clause of Article 1 of the Regulation on the Type-Approval and Market Surveillance of Motor Vehicles and Trailers, and Systems, Components and Separate Technical Units Intended Therefor (EU/2018/858), published in the Official Gazette numbered 31104 and dated 19/04/2020.</t>
  </si>
  <si>
    <t>All physical products, including components and intermediate products, that are placed on the market or put into service.</t>
  </si>
  <si>
    <t>Consumer information, labelling (TBT); Protection of the environment (TBT); Harmonization (TBT); Reducing trade barriers and facilitating trade (TBT)</t>
  </si>
  <si>
    <t>The objective of this Regulation is to establish a framework for making products more sustainable, improving their environmental sustainability to reduce their total carbon and environmental footprint throughout their life cycle, ensuring their free movement on the market, determining the ecodesign requirements they must meet to be placed on the market or put into service, creating a digital product passport and preventing the destruction of unsold consumer products.This Regulation has been prepared based on Article 4 of the Law on Product Safety and Technical Regulations, numbered 7223 and dated 5/3/2020.This Regulation has been prepared within the framework of compliance with European Union legislation, taking into account the European Parliament and Council Regulation (EU) 2024/1781 of June 13, 2024, establishing a framework for ecodesign requirements for sustainable products.</t>
  </si>
  <si>
    <t>This Communique will be adopted upon its publication.</t>
  </si>
  <si>
    <t xml:space="preserve">(1) The third paragraph of Article 24 of this Regulation shall apply to medium-sized enterprises as of 19/7/2030.
(2) The first paragraph of Article 25 of this Regulation shall apply to large enterprises as of 19/7/2026 and to medium-sized enterprises as of 19/7/2030.
(3) The other provisions of this Regulation shall enter into force on the date of their publication.
</t>
  </si>
  <si>
    <r>
      <rPr>
        <sz val="11"/>
        <rFont val="Calibri"/>
      </rPr>
      <t>https://members.wto.org/crnattachments/2026/TBT/TUR/26_00428_00_e.pdf</t>
    </r>
  </si>
  <si>
    <t>This Regulation has been prepared based on Article 4 of the Law on Product Safety and Technical Regulations, numbered 7223 and dated 5/3/2020.This Regulation has been prepared within the framework of compliance with European Union legislation, taking into account the European Parliament and Council Regulation (EU) 2024/1781 of June 13, 2024, establishing a framework for ecodesign requirements for sustainable products.</t>
  </si>
  <si>
    <t>Public Consultation No. 1, 16 January 2026</t>
  </si>
  <si>
    <t>Amend the Technical and Operational Requirements for the use of radio frequency spectrum by stations associated with the Maritime Mobile Limited Service (SLMM), approved by Act No. 883, 1 February 2024.</t>
  </si>
  <si>
    <r>
      <rPr>
        <sz val="11"/>
        <rFont val="Calibri"/>
      </rPr>
      <t>https://members.wto.org/crnattachments/2026/TBT/BRA/26_00429_00_e.pdf</t>
    </r>
  </si>
  <si>
    <t>SEI process number 53500.102343/2023-38 (access process documentsOfficial Gazette of the Union Edition: 13 | Section: 1 | Page: 9 https://www.in.gov.br/web/dou/-/consulta-publica-n-1-de-16-de-janeiro-de-2026-682034268</t>
  </si>
  <si>
    <t>GES 28 - Canned "Adjika". Technical conditions (draft)</t>
  </si>
  <si>
    <t>This draft standard specifies requirements for canned "Adjika" prepared from red hot peppers, salt, garlic, coriander seeds, fennel, various spices, and vinegar or acetic acid. The product shall be packaged and hermetically sealed in glass jars, polymer containers, or polyethylene-lined wooden barrels.</t>
  </si>
  <si>
    <t>Ordinance No. 1567 of the Government of Georgia of November 9, 2015, on the approval of the Technical Regulation "on Maximum Levels for Certain Contaminants in Foodstuffs".Law of Georgia on "Food Products/Animal Feed Safety, Veterinary and Plant Protection Code".Ordinance No. 301 of the Government of Georgia of July 1, 2016, on the approval of the Technical Regulation "On the Provision of Information on Food to Consumers". Ordinance No. 508 of the Government of Georgia of November 17, 2016, on the approval of the Technical Regulation "On addition of Vitamins and Minerals and of Certain Other Substances to Foods”.</t>
  </si>
  <si>
    <t>AFDC 23 (3992) DTZS,Spiced seaweed powder— Specification, First edition </t>
  </si>
  <si>
    <t>This Tanzania Standard specifies the requirements, sampling and test methods for spiced seaweed powder produced from edible seaweed species intended for human consumptionNote: This Draft Tanzania Standard was also notified under SPS committee.</t>
  </si>
  <si>
    <t>- Seaweeds and other algae: (HS code(s): 12122); Fish and fishery products (ICS code(s): 67.120.30)</t>
  </si>
  <si>
    <t>12122 - - Seaweeds and other algae:</t>
  </si>
  <si>
    <r>
      <rPr>
        <sz val="11"/>
        <rFont val="Calibri"/>
      </rPr>
      <t>https://members.wto.org/crnattachments/2026/TBT/TZA/26_00448_00_e.pdf</t>
    </r>
  </si>
  <si>
    <t>CXS 192, General standard for food additivesCXS 193, General standard for contaminants and toxins in food and feedCXG 50, General guidelines on samplingTZS 4, Rounding off numerical valuesTZS 109, Food processing units —Code of hygiene — GeneralTZS 118, Microbiology of food and animal feeding stuffs — Horizontal method for the enumeration of     microorganisms — Colony-count technique at 30 °CTZS 122, Microbiology of food and feeding stuffs — Horizontal method for the detection of Salmonella spp.TZS 125 (all parts), Microbiology of food and animal feeding stuffs — Horizontalmethod for the enumeration of coagulase-positive staphylococci (Staphylococcus aureus and other species)TZS 538, Packaging and labelling of foodsTZS 2044, Animal feeding stuffs — Determination of ash insoluble in hydrochloric acidTZS 2426, Microbiology of food and animal feeding stuffs — Horizontal method for the enumeration of yeasts and moulds — Part 1: Colony count technique in products with water activity greater than 0.95TZS 730-2, Microbiology of food and animal feeding stuffs - Horizontal method for the enumeration of -b-glucuronidase-positive Escheria coli - Part 2 - Colony-count technique at 44 0C using 5-bromo-4-chloro-3-indolyl-b-D-glucuronideTZS 2750, Dried seaweed — SpecificationTZS 3950, Powdered seaweed -Specification</t>
  </si>
  <si>
    <t>Decree No. 12.711 of 6 November 2025 - Amends the Decree No. 10.419 of 7 July 2020 to provide for the ante-mortem and post-mortem inspection of animals destined for slaughter</t>
  </si>
  <si>
    <t>This decree amends Decree No. 10.419 of 7 July 2020, which regulates subparagraph “e” of paragraph 1 of Article 9 of Law No. 1.283 of 18 December 1950 and, in turn, amends Decree No. 9.013 of 29 March 2017 to provide for the ante-mortem and post-mortem inspection of animals.</t>
  </si>
  <si>
    <t>Edible and inedible animal products</t>
  </si>
  <si>
    <t>Food safety; Pests</t>
  </si>
  <si>
    <r>
      <rPr>
        <sz val="11"/>
        <rFont val="Calibri"/>
      </rPr>
      <t>https://members.wto.org/crnattachments/2026/SPS/BRA/26_00112_00_x.pdf</t>
    </r>
  </si>
  <si>
    <t>Pyriofenone; Pesticide Tolerances. Final Rule</t>
  </si>
  <si>
    <t>This regulation establishes tolerances for residues of pyriofenone in or on apple; apple, wet pomace; berry, low growing, subgroup 13-07G (except cranberry); and cherry subgroup 12-12A.</t>
  </si>
  <si>
    <t>Apple; apple, wet pomace; berry, low growing, subgroup 13-07G (except cranberry); and cherry subgroup 12-12A</t>
  </si>
  <si>
    <r>
      <rPr>
        <sz val="11"/>
        <rFont val="Calibri"/>
      </rPr>
      <t>https://www.govinfo.gov/content/pkg/FR-2026-01-14/html/2026-00628.htm</t>
    </r>
  </si>
  <si>
    <t>In making its tolerance decisions, EPA seeks to harmonize US tolerances with international standards whenever possible, consistent with US food safety standards and agricultural practices. EPA considers the international maximum residue limits (MRLs) established by the Codex Alimentarius Commission (Codex), as required by FFDCA section 408(b)(4). The Codex Alimentarius is a joint United Nations Food and Agriculture Organization/World Health Organization food standards program, and it is recognized as an international food safety standards-setting organization in trade agreements to which the United States is a party. EPA may establish a tolerance that is different from a Codex MRL; however, FFDCA section 408(b)(4) requires that EPA explain the reasons for departing from the Codex level.
The Codex has not established a MRL for pyriofenone on apple or cherry, subgroup 12 12A. However, the Codex has established MRLs for pyriofenone in or on berry, low growing, subgroup 13-07G at 1.5 ppm for bush berries and 0.5 ppm for low growing berries. These MRLs are different than the tolerances proposed for pyriofenone in the United States by the petition. The petitioner requested the change in tolerance to align with the Japanese MRL. This requested change was prompted by the Japanese Ministry of Agriculture, Forestry and Fisheries to assist Japanese growers in their efforts to export strawberries into the United States.</t>
  </si>
  <si>
    <t>Mandatory Toy Safety Standards: Requirements for Neck Floats; 
Correction</t>
  </si>
  <si>
    <t>This document corrects the preamble to a final rule (notified as G/TBT/N/USA/2161/Add.1) published in the Federal Register on 15 December 2025, regarding requirements for neck floats under the Consumer Product Safety Commission's (CPSC) mandatory toy safety standard. This correction addresses errors and revises text to provide clear instructions to the public to access voluntary standards that are incorporated by reference.Effective 16 January 2026.91 Federal Register (FR) 2081, 16 January 2026; Title 16 Code of Federal Regulations (CFR) Parts 1112 and 1250_x000D_
https://www.govinfo.gov/content/pkg/FR-2026-01-16/html/2026-00895.htm_x000D_
https://www.govinfo.gov/content/pkg/FR-2026-01-16/pdf/2026-00895.pdfThis final rule; correction and previous actions notified under the symbol G/TBT/N/USA/2161 are identified by Docket Number CPSC-2024-0039. The Docket Folder is available from Regulations.gov at https://www.regulations.gov/docket/CPSC-2024-0039/document and provides access to primary and supporting documents as well as comments received. Documents are also accessible from Regulations.gov by searching the Docket Number.</t>
  </si>
  <si>
    <t>Neck floats; aquatic toys; Quality (ICS code(s): 03.120); Domestic safety (ICS code(s): 13.120); Equipment for children (ICS code(s): 97.190)</t>
  </si>
  <si>
    <t>03.120 - Quality; 03.120 - Quality; 13.120 - Domestic safety; 13.120 - Domestic safety; 97.190 - Equipment for children; 97.190 - Equipment for children; 03.120 - Quality; 13.120 - Domestic safety; 97.190 - Equipment for children</t>
  </si>
  <si>
    <r>
      <rPr>
        <sz val="11"/>
        <rFont val="Calibri"/>
      </rPr>
      <t>https://members.wto.org/crnattachments/2026/TBT/USA/26_00419_00_e.pdf</t>
    </r>
  </si>
  <si>
    <t>Wireless Emergency Alerts and the Emergency Alert System</t>
  </si>
  <si>
    <t xml:space="preserve">In this document, the Federal Communications Commission (Commission) announces that the Office of Management and Budget (OMB) has approved a non-substantive change to the information collection associated with Wireless Emergency Alert (WEA) rules adopted in a Report and Order issued by the Public Safety and Homeland Security Bureau (Multilingual WEA Implementation Report and Order). These rules describe how commercial mobile service providers who participate in WEA (Participating CMS Providers) must implement multilingual templates for the most commonly issued and most time-sensitive types of alerts in English, the next thirteen most commonly spoken languages in the United States, and American Sign Language (ASL). Specifically, Participating CMS Providers shall support the pre-scripted templates published in 90 FR 57288 (notified as G/TBT/N/USA/2120/Add.1; text accessible at https://docs.fcc.gov/public/attachments/DA-25-12A1.pdf) for eighteen emergency events. For English and the thirteen written languages, Participating CMS Providers must support the inclusion of four fillable elements that customize the pre-scripted alert templates: the name of the sending agency, the location pertaining to the alert message, the time when the emergency conditions described in the alert are expected to end, and an optional URL. When an alert originator sends a non-English template message, Participating CMS Providers must display the corresponding pre-scripted alert message in English after the non-English message.Effective 12 June 2028. The amendments to 47 CFR 10.480 (amendatory instruction 2) and 47 CFR 10.500(e) (amendatory instruction 3), published at 90 FR 57288 on 10 December 2025, are effective on 12 June 2028.91 Federal Register (FR) 2317, 20 January 2026; Title 47 Code of Federal Regulations (CFR) Part 10_x000D_
https://www.govinfo.gov/content/pkg/FR-2026-01-20/html/2026-00960.htm_x000D_
https://www.govinfo.gov/content/pkg/FR-2026-01-20/pdf/2026-00960.pdfhttps://docs.fcc.gov/public/attachments/DA-25-1078A1.pdfThis final rule; announcement of compliance date is identified by PS Docket Nos. 15-9115-94 and DA 25-12 and provides access to associated documents. The full text of this final rule; announcement of compliance date is available from the Commission's website at https://docs.fcc.gov/public/attachments/DA-25-1078A1.pdf. The Docket Folders are available from the FCC's Electronic Document Management System (EDOCS) by searching the Docket Number. Comments ("filings") for this action are accessible in the Electronic Comment Filing System (ECFS) at https://www.fcc.gov/ecfs/search/search-filings/results?q=(proceedings.name:(%2215-91%22))_x000D_
</t>
  </si>
  <si>
    <t>Wireless emergency alert system; Alarm and warning systems (ICS code(s): 13.320); Radiocommunications (ICS code(s): 33.060); Mobile services (ICS code(s): 33.070)</t>
  </si>
  <si>
    <t>13.320 - Alarm and warning systems; 33.060 - Radiocommunications; 33.070 - Mobile services; 13.320 - Alarm and warning systems; 33.060 - Radiocommunications; 33.070 - Mobile services</t>
  </si>
  <si>
    <r>
      <rPr>
        <sz val="11"/>
        <rFont val="Calibri"/>
      </rPr>
      <t>https://members.wto.org/crnattachments/2026/TBT/USA/26_00420_00_e.pdf
https://members.wto.org/crnattachments/2026/TBT/USA/26_00420_01_e.pdf</t>
    </r>
  </si>
  <si>
    <t>Resolución Exenta No 10.706/2025 que "Establece requisitos fitosanitarios de importación para plantas y ramillas dormantes de pecano (Carya illinoinensis) procedentes de Estados Unidos de América" (Exempt Resolution No. 10.706/2025 establishing phytosanitary requirements for the importation of dormant pecan (Carya illinoinensis) plants and slips from the United States of America)Chile hereby advises that Exempt Resolution No. 10.706/2025 establishing phytosanitary requirements for the importation of dormant pecan (Carya illinoinensis) plants and slips from the United States of America was published in the Official Journal on 12 January 2026 and will enter into force 60 days from that date.https://members.wto.org/crnattachments/2026/SPS/CHL/26_00418_00_s.pdf</t>
  </si>
  <si>
    <t>Dormant pecan (Carya illinoinensis) plants and slips</t>
  </si>
  <si>
    <t>060220 - Edible fruit or nut trees, shrubs and bushes, whether or not grafted; 060220 - Edible fruit or nut trees, shrubs and bushes, whether or not grafted</t>
  </si>
  <si>
    <t>Adoption/publication/entry into force of reg.; Plant health; Plant health</t>
  </si>
  <si>
    <r>
      <rPr>
        <sz val="11"/>
        <rFont val="Calibri"/>
      </rPr>
      <t>https://members.wto.org/crnattachments/2026/SPS/CHL/26_00418_00_s.pdf</t>
    </r>
  </si>
  <si>
    <t>Central American Technical Regulation (RTCA) No. 23.01.78:00: Electrical products. Inverter split-type, free air discharge, non-ducted air conditioners with variable refrigerant flow. Energy efficiency specifications.</t>
  </si>
  <si>
    <t>Pursuant to Executive Decree No. 44037-MINAE, Supplementary Regulations for the Implementation of Central American Technical Regulation (RTCA) No. 23.01.78:20: Electrical products. Inverter split-type, free air discharge, non-ducted air conditioners with variable refrigerant flow. Energy efficiency specifications, and Executive Decree No. 43616-COMEX-MEIC-MINAE publishing Resolution No. 451-2021 (COMIECO-XCVIII), of 17 December 2021, and the Annex thereto, "Central American Technical Regulation (RTCA) No. 23.01. 78:20 Electrical products. Inverter split-type, free air discharge air conditioners with variable refrigerant flow" and the provisions of the first recital of the notified resolution, equivalence is hereby granted.__________1 This information can be provided by including a website address, a PDF attachment, or other information on where the text of the final/modified measure and/or interpretative guidance can be obtained.</t>
  </si>
  <si>
    <t>Air conditioners</t>
  </si>
  <si>
    <r>
      <rPr>
        <sz val="11"/>
        <rFont val="Calibri"/>
      </rPr>
      <t xml:space="preserve">https://members.wto.org/crnattachments/2026/TBT/CRI/final_measure/26_00414_00_s.pdf
</t>
    </r>
  </si>
  <si>
    <t>Eurasian Economic Commission Collegium Draft Decision on amendments to the Section 3 of the Chapter II of the Common sanitary-epidemiological and hygienic requirements for products subject to sanitary-epidemiological supervision (control);</t>
  </si>
  <si>
    <t>The draft provides for the updating of the Section 3 of the Chapter II of the Common sanitary-epidemiological and hygienic requirements for products subject to sanitary-epidemiological supervision (control) which regulates the requirements for materials, reagents, equipment for water treatment and water purification.</t>
  </si>
  <si>
    <t>Eurasian Economic Commission Collegium Draft Decision on amendments to the Section 3 of the Chapter II of the Common sanitary-epidemiological and hygienic requirements for products subject to sanitary-epidemiological supervision (control)https://regulation.eaeunion.org/orv/3319/</t>
  </si>
  <si>
    <t>Withdrawal from the market of oct-2-enal, dec-2-enal, 2-hexenal, 3,5- octadiene-2-one, dec-2-enoic acid, phenethyl propionate, methyl decanoate, ethyl dec-2-enoate, ethyl dec-4-enoate, butylamine, 3-methylbutane-1-thiol, 2-methylfuran, 2-acetyl-5-methylfuran, 2-acetyl-3-methylpyrazine and picoline beta (3-methylpyridine) as feed additives for cats and dogs</t>
  </si>
  <si>
    <t>The proposal notified in G/SPS/N/EU/859 (28 May 2025) is now adopted by Commission Implementing Regulation (EU) 2026/95 of 15 January 2026 withdrawing from the market oct-2-enal, dec-2-enal, 2-hexenal, 3,5- octadiene-2-one, dec-2-enoic acid, phenethyl propionate, methyl decanoate, ethyl dec-2-enoate, ethyl dec-4-enoate, butylamine, 3-methylbutane-1-thiol, 2-methylfuran, 2-acetyl-5-methylfuran, 2-acetyl-3-methylpyrazine and picoline beta (3-methylpyridine) as feed additives for cats and dogs (Text with EEA relevance).This Regulation shall enter into force on the twentieth day following that of its publication in the Official Journal of the European Union.</t>
  </si>
  <si>
    <r>
      <rPr>
        <sz val="11"/>
        <rFont val="Calibri"/>
      </rPr>
      <t>https://members.wto.org/crnattachments/2026/SPS/EEC/26_00408_00_e.pdf
https://members.wto.org/crnattachments/2026/SPS/EEC/26_00408_00_f.pdf
https://members.wto.org/crnattachments/2026/SPS/EEC/26_00408_00_s.pdf</t>
    </r>
  </si>
  <si>
    <t>Commission Implementing Regulation (EU) 2025/2498 of 11 December 2025 concerning the authorisation of 4-hydroxy-2,5-dimethylfuran-3(2H)-one as a feed additive for all animal species, except cats and dogs (Text with EEA relevance)</t>
  </si>
  <si>
    <t>This Regulation authorises for the first time in the European Union and for a period of ten years 4-hydroxy-2,5-dimethylfuran-3(2H)-one as a feed additive belonging to the category ‘sensory additives’ and in the functional group ‘flavouring compounds’ for all animal species except cats and dogs. This authorisation is based on the favourable conclusions of a scientific assessment of the dossier submitted by the applicant, conducted by the European Food Safety Authority (EFSA). The terms of the authorisation are detailed in the Annex to the Act.</t>
  </si>
  <si>
    <r>
      <rPr>
        <sz val="11"/>
        <rFont val="Calibri"/>
      </rPr>
      <t>https://members.wto.org/crnattachments/2026/SPS/EEC/26_00407_00_e.pdf
https://members.wto.org/crnattachments/2026/SPS/EEC/26_00407_00_f.pdf
https://members.wto.org/crnattachments/2026/SPS/EEC/26_00407_00_s.pdf</t>
    </r>
  </si>
  <si>
    <t>Eurasian Economic Commission Collegium Draft Decision on amendments to the Section 12 of the Chapter II of the Common sanitary-epidemiological and hygienic requirements for products subject to sanitary-epidemiological supervision (control);</t>
  </si>
  <si>
    <t>The draft provides for amendments to the Section 12 of the Chapter II of the Common sanitary-epidemiological and hygienic requirements for products subject to sanitary-epidemiological supervision (control), approved by the Customs Union Commission Decision No. 299 dated May 28, 2010, with respect to updating the requirements for personal hygiene products.</t>
  </si>
  <si>
    <t>Personal hygiene products</t>
  </si>
  <si>
    <t>Protection of animal or plant life or health (TBT)</t>
  </si>
  <si>
    <t>Eurasian Economic Commission Collegium Draft Decision on amendments to the Section 12 of the Chapter II of the Common sanitary-epidemiological and hygienic requirements for productssubject to sanitary-epidemiological supervision (control);https://regulation.eaeunion.org/orv/3318/</t>
  </si>
  <si>
    <t>Normative equivalence has been granted between the standard CAN/CSA-C358-03, "Energy consumption test methods for household electric ranges", as applied to the list of products contained in Annex A of report EQ 119-2025, and Executive Decree No. 43524 Costa Rican Technical Regulation (RTCR) No. 503:2021. Electrical products. Cookers, hobs, cooktops, induction hobs and electric ovens for domestic use. Energy efficiency requirements (INTE E17‐1:2024, "Energy efficiency. Electric cookers, hobs and electric ovens for domestic use. Part 2: Labelling", INTE E17-2:2024, "Energy efficiency. Household refrigerators and freezers. Part 2: Labelling", INTE E17-3:2024, "Energy efficiency. Electric cookers, hobs and electric ovens for domestic use. Part 3: Test method"), pursuant to Executive Decrees No. 37662-MEIC-H-MICIT "Procedure for demonstrating 1 This information can be provided by including a website address, a PDF attachment, or other information on where the text of the final/modified measure and/or interpretative guidance can be obtained.G/TBT/N/CRI/193/Add.17- 2 - conformity with technical regulations" and No. 44395-MEIC "Procedure for demonstrating equivalence with a Costa Rican or Central American Technical Regulation" and the provisions of the first recital of the notified resolution.__________</t>
  </si>
  <si>
    <r>
      <rPr>
        <sz val="11"/>
        <rFont val="Calibri"/>
      </rPr>
      <t>https://members.wto.org/crnattachments/2026/TBT/CRI/final_measure/26_00421_00_s.pdf</t>
    </r>
  </si>
  <si>
    <t>Costa Rican Technical Regulation (RTCR) No. 503:2021. Electrical products. Cookers, hobs, cooktops, induction hobs and electric ovens for domestic use. Energy efficiency requirements. (14 pages, in Spanish)</t>
  </si>
  <si>
    <t>Normative equivalence has been granted between the standard CAN/CSA-C358-03, "Energy consumption test methods for household electric ranges", certified by UL under certificate No. 4791511763 and applied to the list of products contained in Annex A, and Decree No. 43524 Costa Rican Technical Regulation (RTCR) No. 503:2021. Electrical products. Cookers, hobs, cooktops, induction hobs and electric ovens for domestic use. Energy efficiency requirements (INTE E17‐1:2024, "Energy efficiency. Electric cookers, hobs and electric ovens for domestic use. Part 2: Labelling", INTE E17-2:2024, "Energy efficiency. Household refrigerators and freezers. Part 2: Labelling", INTE E17-3:2024, "Energy efficiency. Electric cookers, hobs and electric ovens for 1 This information can be provided by including a website address, a PDF attachment, or other information on where the text of the final/modified measure and/or interpretative guidance can be obtained.G/TBT/N/CRI/193/Add.18- 2 - domestic use. Part 3: Test method"), pursuant to Executive Decree No. 37662-MEIC-H-MICIT "Procedure for demonstrating conformity with technical regulations", Decree No. 44395-MEIC "Procedure for demonstrating equivalence with a Costa Rican or Central American Technical Regulation", and the provisions of the first recital of the notified resolution.__________</t>
  </si>
  <si>
    <r>
      <rPr>
        <sz val="11"/>
        <rFont val="Calibri"/>
      </rPr>
      <t>https://members.wto.org/crnattachments/2026/TBT/CRI/final_measure/26_00422_00_s.pdf</t>
    </r>
  </si>
  <si>
    <t>Ordinance MAPA  No. 861 of 13 November 2025 - Regulates the accreditation of legal entities to provide technical or operational support services for the ante-mortem and post-mortem inspection of animals destined for slaughter</t>
  </si>
  <si>
    <t>This Ordinance regulates the accreditation of legal entities provided for in Article 5 of Law No. 14.515 of 29 December 2022, for the provision of technical or operational support services for the ante-mortem and post-mortem inspection of animals destined for slaughter, as referred to in Article 9, paragraph 1, subparagraph "e", of Law No. 1.283 of 18 December 1950.</t>
  </si>
  <si>
    <r>
      <rPr>
        <sz val="11"/>
        <rFont val="Calibri"/>
      </rPr>
      <t>https://members.wto.org/crnattachments/2026/SPS/BRA/26_00111_00_x.pdf
https://in.gov.br/web/dou/-/portaria-mapa-n-861-de-13-de-novembro-de-2025-668953794</t>
    </r>
  </si>
  <si>
    <t>An exemption from compliance with Technical Note No. 389 has been granted, as requested by the company PSCR EXPORTADORA S.A. This exemption from Technical Note No. 389 applies exclusively to the products covered by this Resolution.__________1 This information can be provided by including a website address, a PDF attachment, or other information on where the text of the final/modified measure and/or interpretative guidance can be obtained.</t>
  </si>
  <si>
    <r>
      <rPr>
        <sz val="11"/>
        <rFont val="Calibri"/>
      </rPr>
      <t xml:space="preserve">https://members.wto.org/crnattachments/2026/TBT/CRI/final_measure/26_00423_00_s.pdf
</t>
    </r>
  </si>
  <si>
    <t>Draft "Quarantine Requirements for the Importation of US processing potatoes"</t>
  </si>
  <si>
    <t>The draft regulates the quarantine requirements for the importation of fresh potatoes for processing purposes from the United States of America.</t>
  </si>
  <si>
    <r>
      <rPr>
        <sz val="11"/>
        <rFont val="Calibri"/>
      </rPr>
      <t>https://members.wto.org/crnattachments/2026/SPS/TPKM/26_00424_00_e.pdf</t>
    </r>
  </si>
  <si>
    <t>Proposal for the additional designation of 3 substances as ShiteiYakubutsu, and their proper uses under the Act.</t>
  </si>
  <si>
    <t>In order to prevent the abuse of substances with probable effects on the central nervous system and to clarify the regulation under the Act, the MHLW designates such substances as ShiteiYakubutsu. Manufacture, import, sale, simple ownership and the use of Shitei Yakubutsu are banned except for the proper uses designated under the Act.</t>
  </si>
  <si>
    <r>
      <rPr>
        <sz val="11"/>
        <rFont val="Calibri"/>
      </rPr>
      <t>https://members.wto.org/crnattachments/2026/TBT/JPN/26_00426_00_e.pdf</t>
    </r>
  </si>
  <si>
    <t>Permethrin; Pesticide Tolerances. Final Rule</t>
  </si>
  <si>
    <t>This regulation establishes a tolerance for residues of 
permethrin in or on the food and feed commodities of dragon fruit 
(pitaya) as well as crop group expansions to field corn subgroup 15-22C 
and sweet corn subgroup 15-22D, and crop group conversions to leafy 
greens subgroup 4-16A, including tolerances for arugula, garden cress, 
and upland cress. </t>
  </si>
  <si>
    <t>Food and feed commodities of dragon fruit (pitaya) as well as crop group expansions to field corn subgroup 15-22C and sweet corn subgroup 15-22D, and crop group conversions to leafy greens subgroup 4-16A, including tolerances for arugula, garden cress, and upland cress</t>
  </si>
  <si>
    <r>
      <rPr>
        <sz val="11"/>
        <rFont val="Calibri"/>
      </rPr>
      <t>https://www.govinfo.gov/content/pkg/FR-2026-01-14/html/2026-00545.htm</t>
    </r>
  </si>
  <si>
    <t>In making its tolerance decisions, EPA seeks to harmonize US tolerances with international standards and agricultural practices. EPA considers the international maximum residue limits (MRLs) established by the Codex Alimentarius Commission (Codex), as required by FFDCA section 408(b)(4).
The Canadian and Codex MRLs are expressed in terms of total permethrin. The US residue definition is harmonized with Canada and Codex. Mexico adopts US tolerances. When the US tolerance is higher, harmonization is not feasible because the tolerances are based on field trial data that resulted in residues that necessitated the higher limit. For some cases, such as corn grain, EPA establishes a different US tolerance (0.05 ppm) than the Codex tolerance (2 ppm) due to differences in use patterns.</t>
  </si>
  <si>
    <t>Republishing of Public Consultation No. 1, 8 January 2026, due to an error in the original text published in Edition No. 11 of the Official Gazette of the Union, 16 January 2026, Section 1, pages 29 to 32.https://in.gov.br/en/web/dou/-/consulta-publica-n-1-de-8-de-janeiro-de-2026-*-682029120</t>
  </si>
  <si>
    <r>
      <rPr>
        <sz val="11"/>
        <rFont val="Calibri"/>
      </rPr>
      <t>https://members.wto.org/crnattachments/2026/TBT/BRA/26_00409_00_x.pdf</t>
    </r>
  </si>
  <si>
    <t>Draft resolution (Consulta Publica) number 457, December 28th 2017</t>
  </si>
  <si>
    <t>The Draft Resolution number 457, December 28th 2017 - previously notified through G/TBT/N/BRA/781 - which establishes the lists of nutrients, bioactive substances, enzymes and probiotics, limits of use, claims and supplementary labelling of food supplements, was amended by the Anvisa Nomative Instrution n°. 418, of december 18, 2025.The final text is available only in Portuguese and can be downloaded at: https://anvisalegis.datalegis.net/action/UrlPublicasAction.php?acao=abrirAtoPublico&amp;num_ato=00000418&amp;sgl_tipo=INM&amp;sgl_orgao=DC/ANVISA/MS&amp;vlr_ano=2025&amp;seq_ato=000&amp;cod_modulo=134&amp;cod_menu=1696</t>
  </si>
  <si>
    <t>Food supplements and labelling.</t>
  </si>
  <si>
    <t>Protection of Human Health</t>
  </si>
  <si>
    <t>Food standards; Labelling; Nutrition information; Labelling; Food standards; Nutrition information</t>
  </si>
  <si>
    <r>
      <rPr>
        <sz val="11"/>
        <rFont val="Calibri"/>
      </rPr>
      <t>https://members.wto.org/crnattachments/2026/TBT/BRA/modification/26_00395_00_x.pdf</t>
    </r>
  </si>
  <si>
    <t>Draft resolution 1292, 28 November 2024</t>
  </si>
  <si>
    <t>The Draft resolution 1292, 28 November 2024 - previously notified through G/TBT/N/BRA/1576 - which contains provisions on prohibitions and restrictions applicable to the composition of herbal medicines, was adopted as  Anvisa Normative Instruction - NI number 411, 17 December 2025. The final text is available only in Portuguese and can be downloaded at: https://anvisalegis.datalegis.net/action/UrlPublicasAction.php?acao=abrirAtoPublico&amp;num_ato=00000411&amp;sgl_tipo=INM&amp;sgl_orgao=DC/ANVISA/MS&amp;vlr_ano=2025&amp;seq_ato=000&amp;cod_modulo=134&amp;cod_menu=1696</t>
  </si>
  <si>
    <t>The proposal to adapt the quality control requirements was incorporated into the Brazilian Pharmacopoeia, legally mandatory for the manufacture and control of medicines in Brazil, and it is now necessary to incorporate it by Anvisa, with convergence and approximation to international regulatory requirements.</t>
  </si>
  <si>
    <r>
      <rPr>
        <sz val="11"/>
        <rFont val="Calibri"/>
      </rPr>
      <t>https://members.wto.org/crnattachments/2026/TBT/BRA/final_measure/26_00399_00_x.pdf</t>
    </r>
  </si>
  <si>
    <t>Draft Resolution 1350, 16 September 2025.</t>
  </si>
  <si>
    <t>Draft Resolution 1350, 16 September 2025. - previously notified through G/TBT/N/BRA/1604 - The resolution changes to the monographs in the List of Active Ingredients of Pesticides, Sanitisers, Disinfectants and Wood Preservatives published through Normative Instruction No. 103 on 19 October 2021.The final text is available only in Portuguese and can be downloaded at: https://anvisalegis.datalegis.net/action/UrlPublicasAction.php?acao=abrirAtoPublico&amp;num_ato=00000421&amp;sgl_tipo=INM&amp;sgl_orgao=DC/ANVISA/MS&amp;vlr_ano=2025&amp;seq_ato=000&amp;cod_modulo=134&amp;cod_menu=1696</t>
  </si>
  <si>
    <t>Health care technology (ICS code(s): 11)</t>
  </si>
  <si>
    <t>11 - HEALTH CARE TECHNOLOGY; 11 - Health care technology</t>
  </si>
  <si>
    <r>
      <rPr>
        <sz val="11"/>
        <rFont val="Calibri"/>
      </rPr>
      <t>https://members.wto.org/crnattachments/2026/TBT/BRA/modification/26_00398_00_x.pdf</t>
    </r>
  </si>
  <si>
    <t>Draft Decision of the Collegium of the Eurasian Economic Commission on Amendment to Section 1 of Chapter II of the Common Sanitary-Epidemiological and Hygienic Requirements for Products Subject to Sanitary-Epidemiological Supervision (Control)</t>
  </si>
  <si>
    <t>The Draft Decision amends Common Sanitary-Epidemiological and Hygienic Requirements for Products Subject to Sanitary-Epidemiological Supervision (Control) with a requirement for maximum residues level (MRL) for cadmium (Cd) in sunflower kernels not to exceed 0.20 mg/kg.It also updates the existing MRLs for cadmium regarding specific confectionery products as follows:– Sunflower halva: 0.11 mg/kg;– Sunflower gozinaki (confectionery made of sunflower seeds): 0.14 mg/kg.The Technical Regulation TR CU 021/2011 “On Food Safety” will be updated accordingly.</t>
  </si>
  <si>
    <t>Sunflower kernels; sunflower halva; sunflower seed gozinaki (HS codes 1206, 170490, 2006)</t>
  </si>
  <si>
    <t>2006 - Vegetables, fruit, nuts, fruit-peel and other parts of plants, preserved by sugar (drained, glacé or crystallised).; 170490 - Sugar confectionery not containing cocoa, incl. white chocolate (excl. chewing gum); 1206 - Sunflower seeds, whether or not broken.</t>
  </si>
  <si>
    <r>
      <rPr>
        <sz val="11"/>
        <rFont val="Calibri"/>
      </rPr>
      <t>https://members.wto.org/crnattachments/2026/SPS/ARM/26_00390_00_x.pdf
https://members.wto.org/crnattachments/2026/SPS/ARM/26_00390_01_x.pdf
https://regulation.eaeunion.org/orv/3309/</t>
    </r>
  </si>
  <si>
    <t>Draft resolution 1293, 28 November 2024</t>
  </si>
  <si>
    <t>The Draft Resolution 1293, 28 November 2024 - previously notified through G/TBT/N/BRA/1580 - which establishes and proposes the "List of Simplified Market Registration Herbal Medicines" and the "List of Simplified Market Registration Traditional Herbal Products", was adopted as  Normative Instrution - NI number 412, 17 December 2025The final text is available only in Portuguese and can be downloaded at:https://anvisalegis.datalegis.net/action/UrlPublicasAction.php?acao=abrirAtoPublico&amp;num_ato=00000412&amp;sgl_tipo=INM&amp;sgl_orgao=DC/ANVISA/MS&amp;vlr_ano=2025&amp;seq_ato=000&amp;cod_modulo=134&amp;cod_menu=1696</t>
  </si>
  <si>
    <t>Medicaments (ICS code(s): 11.120.10)</t>
  </si>
  <si>
    <t>2909 - Ethers, ether-alcohols, ether-phenols, ether-alcohol-phenols, alcohol peroxides, ether peroxides, acetal and hemiacetal peroxides, ketone peroxides, whether or not chemically defined, and their halogenated, sulphonated, nitrated or nitrosated derivatives; 2909 - Ethers, ether-alcohols, ether-phenols, ether-alcohol-phenols, alcohol peroxides, ether peroxides, acetal and hemiacetal peroxides, ketone peroxides, whether or not chemically defined, and their halogenated, sulphonated, nitrated or nitrosated derivatives</t>
  </si>
  <si>
    <t>11.120.10 - Medicaments; 11.120.10 - Medicaments</t>
  </si>
  <si>
    <t>This draft resolution proposes to reduce demands, obligations, restrictions, requirements or specifications with the aim of reducing regulatory costs.</t>
  </si>
  <si>
    <t>Regulations relating to the Grading, Packing, and Marking of Canola intended for sale in the Republic of South Africa</t>
  </si>
  <si>
    <t>The proposed regulations cover the minimum quality standards for the grading, packing and marking/labelling of canola and prescribe the sampling procedures, method of inspection, determination of deviations of such products when presented for sale. Offences and penalties in the case of non-compliances.</t>
  </si>
  <si>
    <t>Canola Regulations</t>
  </si>
  <si>
    <t>Protection of human health or safety (TBT); Reducing trade barriers and facilitating trade (TBT)</t>
  </si>
  <si>
    <r>
      <rPr>
        <sz val="11"/>
        <rFont val="Calibri"/>
      </rPr>
      <t>https://members.wto.org/crnattachments/2026/TBT/ZAF/26_00401_00_e.pdf</t>
    </r>
  </si>
  <si>
    <t>Government Notice No. 6858 of 21 November 2025 Agricultural Product Standards Act, 1990 (Act No. 119 of 1990)</t>
  </si>
  <si>
    <t>Notice of Administration Order of Saudi Food and Drug Authority Ref. No. 30263 dated 11 January 2026 entitled “Temporary ban on importation of poultry meat, eggs and their products originating from Côtes-d’Armor in France”</t>
  </si>
  <si>
    <t>Following the WOAH report dated 31 December 2025, a Highly pathogenic avian influenza (HPAI) virus outbreak has occurred in Côtes-d’Armor in France. In compliance with the World Organisation for Animal Health (WOAH), Terrestrial Animal Health Code Chapter 10.4, it is deemed necessary for the Kingdom of Saudi Arabia to prevent the entry of the HPAI virus into the country. Therefore, the import of poultry meat, eggs and their products from Côtes-d’Armor in France to the Kingdom of Saudi Arabia is temporarily suspended (with the exception of processed poultry meat and egg products exposed to either heat or other treatments that ensure deactivation of the HPAI virus, as long as it conforms with the approved health requirements, and standards, with a health certificate issued by the official bodies in France prove that the product is free from the virus).</t>
  </si>
  <si>
    <t>Pests; Food safety; Avian Influenza; Animal health; Pest- or Disease- free Regions / Regionalization</t>
  </si>
  <si>
    <r>
      <rPr>
        <sz val="11"/>
        <rFont val="Calibri"/>
      </rPr>
      <t>https://members.wto.org/crnattachments/2026/SPS/SAU/26_00404_00_e.pdf</t>
    </r>
  </si>
  <si>
    <t>Proposal for a Directive of the European Parliament and of the Council amending Directives 2001/18/EC and 2010/53/EU as regards the placing on the market of genetically modified micro-organisms and the processing of organs</t>
  </si>
  <si>
    <t>This proposal for a Directive covers two topics, the placing on the market of genetically modified micro-organisms (GMMs) and the processing of organs. This notification concerns only the part on GMMs (Article 1 of the proposed Directive), which is the relevant part under the SPS Agreement.Amendment (as regards GMMs) to Directive 2001/18/EC on the deliberate release into the environment of genetically modified organismsDirective 2001/18/EC regulates the deliberate release into the environment of genetically modified organisms (GMOs) for any other purposes than placing on the market within the European Union (Part B of the Directive) and the placing on the market of genetically modified organisms as or in products within the European Union (Part C). This Directive does not apply to the market authorisation of food and feed containing, consisting of or produced from GMOs. The proposed amendments introduce specific provisions in Part C of the Directive applicable to the placing on the market of GMMs as or in products (other than food and feed) with the aim of tailoring the requirements of the regulatory framework to GMMs while maintaining a high safety level for human health and the environment. The provisions proposed relate to the risk assessment, to the validity of the consent granted for the placing on the market, and to detection methods applicable to all GMMs. In relation to a tailored risk assessment, provision is made for the information requirements in Annex III of Directive 2001/18/EC to be amended by the European Commission by way of delegated act in order to adapt them to the specificities of GMMs, respecting the general principles for the environmental risk assessment of Annex II of Directive 2001/18/EC. The validity of consent granted by the competent authorities would last for an unlimited period of time for GMMs. The modalities to comply with detection method requirements in cases where it is not feasible to provide a method that detects, identifies and quantifies are also adapted in the proposal. Further, the proposal would also introduce specific provisions for low-risk GMMs, including scientific criteria to establish this status, a streamlined authorisation procedure and adaptation of the requirement for post-market environmental monitoring. </t>
  </si>
  <si>
    <t>Genetically modified micro-organisms as or in products</t>
  </si>
  <si>
    <t>This Directive shall enter into force on the twentieth day following that of its publication in the Official Journal of the European Union.</t>
  </si>
  <si>
    <r>
      <rPr>
        <sz val="11"/>
        <rFont val="Calibri"/>
      </rPr>
      <t>https://members.wto.org/crnattachments/2026/SPS/EEC/26_00402_00_e.pdf</t>
    </r>
  </si>
  <si>
    <t>Draft resolution 1290, 28 November2024</t>
  </si>
  <si>
    <t>The Draft Resolution 1290, 28 November2024 - previously notified through G/TBT/N/BRA/1577 - whish contains provisions on market authorization for herbal medicines and marketing authorization and notification of  tradicional herbal prodcts, was adopted as Resolution - RDC number 1004, 17 December 2025.The final text is available only in Portuguese and can be downloaded at:https://anvisalegis.datalegis.net/action/UrlPublicasAction.php?acao=abrirAtoPublico&amp;num_ato=00001004&amp;sgl_tipo=RDC&amp;sgl_orgao=RDC/DC/ANVISA/MS&amp;vlr_ano=2025&amp;seq_ato=000&amp;cod_modulo=134&amp;cod_menu=1696</t>
  </si>
  <si>
    <t>Morocco</t>
  </si>
  <si>
    <t>Projet de décret modifiant l'arrêté viziriel du 18 joumada I 1357 (16 juillet 1938) tendant à faciliter la résorption des excédents de vin (Draft Decree amending Viziriel Order of 18 joumada I 1357 (16 July 1938) facilitating the disposal of surplus wine)</t>
  </si>
  <si>
    <t>The notified draft Decree, drawn up in consultation with the departments concerned, seeks to address certain gaps by establishing a clear and coherent regulatory framework for controlling and monitoring imports of alcohol according to intended use. The text sets out specific modalities and requirements for importing alcohol according to the field of activity of each competent authority concerned, with a view to ensuring safety, quality, and conformity with the standards applied in the food, industrial, pharmaceutical and energy sectors.</t>
  </si>
  <si>
    <t>Wine</t>
  </si>
  <si>
    <r>
      <rPr>
        <sz val="11"/>
        <rFont val="Calibri"/>
      </rPr>
      <t>https://members.wto.org/crnattachments/2026/SPS/MAR/26_00380_00_f.pdf</t>
    </r>
  </si>
  <si>
    <t>Add of prohibited hosts related with Radopholus similis</t>
  </si>
  <si>
    <t>The Animal and Plant Quarantine Agency (APQA), Ministry of Agriculture, Food and Rural Affairs (MAFRA) in the Republic of Korea, has added host plants of Radopholus similis, one of the prohibited quarantine pests of Korea, which is based on the result of Pest Risk Analysis (PRA).The import of the whole plants (including leaves and stems) of Aponogeton natans from the regions or countries specified below will be prohibited, and this measure will be applied on consignment shipped on and after 19 January 2026.- Products covered: Relevant parts of host plants (available in English, 2 pages) associated with Radopholus similisRegions or countries likely to be affected, to the extent relevant or practicable:North America: Canada, Mexico, United States of America Central America: All countries South America: All countries (except Chile) Africa: All countries Asia: Brunei Darussalam, Cambodia, China (restricted areas: Guangzhou City, Maoming City and Shenzhen City in Guangdong, Fujian; and Hong Kong, China), India, Indonesia, Japan, Lebanese Republic, Malaysia, Oman, Pakistan, Philippines, Singapore, Sri Lanka, Chinese Taipei, Thailand, Yemen Europe: Belgium, Denmark, Estonia, France, Hungary, Italy, Netherlands, Poland, Portugal, Slovenia, Spain, Sweden Oceania and the Pacific: Australia (except Tasmania), Cook Islands (New Zealand), Fiji, French Polynesia, Guam, Hawaiian Islands, Micronesia, New Caledonia, New Zealand, Niue (New Zealand), Norfolk Island (Australia), Palau, Papua New Guinea, American Samoa, Samoa, Solomon Islands, TongaFull information of prohibited host plants and countries (regions) related to Radopholus similis, can be found in the Attachment 1 (available in English):</t>
  </si>
  <si>
    <t>Living underground parts of Jasminum spp.</t>
  </si>
  <si>
    <t>Nematode; Pests; Plant health; Pest- or Disease- free Regions / Regionalization; Nematode; Plant health; Pests; Pest- or Disease- free Regions / Regionalization</t>
  </si>
  <si>
    <r>
      <rPr>
        <sz val="11"/>
        <rFont val="Calibri"/>
      </rPr>
      <t>https://members.wto.org/crnattachments/2026/SPS/KOR/26_00403_00_e.pdf</t>
    </r>
  </si>
  <si>
    <t>Propuesta de Modificación del Decreto Supremo N°26, de 2000, del Ministerio de Transportes y Telecomunicaciones(https://www.bcn.cl/leychile/navegar?idNorma=166902</t>
  </si>
  <si>
    <t>The Ministry of Transport and Telecommunications has deemed it necessary to amend Decree No. 26 of 2000 of the Ministry of Transport and Telecommunications, in order to include new mandatory and optional safety features for light and medium-sized motor vehicles.The current regulations need to be aligned with international safety requirements for light and medium-sized motor vehicles, with a view to ensuring that the information provided during the vehicle approval process is accurate and that the certificates concerned are consistent with the current, updated versions of international standards. As a result, it is necessary to amend Supreme Decree No. 26 of 2000 of the Ministry of Transport and Telecommunications.</t>
  </si>
  <si>
    <t>43.040.80 - Crash protection and restraint systems</t>
  </si>
  <si>
    <r>
      <rPr>
        <sz val="11"/>
        <rFont val="Calibri"/>
      </rPr>
      <t>https://www.subtrans.gob.cl/participacion-ciudadana/consultas-ciudadanas/consulta-modificacionds26/</t>
    </r>
  </si>
  <si>
    <t>• Decree No. 211 of 1991 of the Ministry of Transport and Telecommunications, Under-Secretariat for Transport (https://www.bcn.cl/leychile/navegar?idNorma=11031)• Decree No. 54 of 1994 of the Ministry of Transport and Telecommunications, Under-Secretariat for Transport (https://www.bcn.cl/leychile/navegar?idNorma=8349)• Decree No. 54 of 1997 of the Ministry of Transport and Telecommunications, Under-Secretariat for Transport (https://www.bcn.cl/leychile/navegar?idNorma=74654)• Decree No. 26 of 2000 of the Ministry of Transport and Telecommunications, Under-Secretariat for Transport (https://www.bcn.cl/leychile/navegar?idNorma=166902)</t>
  </si>
  <si>
    <t>Commission Implementing Regulation (EU) 2025/2566 of 18 December 2025 concerning the authorisation of L-lysine sulphate and L-lysine monohydrochloride produced with Corynebacterium glutamicum CGMCC 7.453 as feed additives for all animal species (Text with EEA relevance)</t>
  </si>
  <si>
    <t>This Regulation authorises for the first time in the European Union and for a period of ten years L-lysine sulphate and L-lysine monohydrochloride produced with Corynebacterium glutamicum CGMCC 7.453 as feed additives belonging to the category ‘nutritional additives’ and in the functional group ‘amino acids, their salts and analogues’ for all animal species. This authorisation is based on the favourable conclusions of a scientific assessment of the dossier submitted by the applicant, conducted by the European Food Safety Authority (EFSA). The terms of the authorisation are detailed in the Annex to the Act.</t>
  </si>
  <si>
    <r>
      <rPr>
        <sz val="11"/>
        <rFont val="Calibri"/>
      </rPr>
      <t>https://members.wto.org/crnattachments/2026/SPS/EEC/26_00392_00_e.pdf
https://members.wto.org/crnattachments/2026/SPS/EEC/26_00392_00_f.pdf
https://members.wto.org/crnattachments/2026/SPS/EEC/26_00392_00_s.pdf</t>
    </r>
  </si>
  <si>
    <t>Draft Commission Regulation amending Regulation (EC) No 1907/2006 of the European Parliament and of the Council as regards carcinogens, germ cell mutagens or reproductive toxicants subject to restrictions</t>
  </si>
  <si>
    <t>This draft Commission Regulation aims to include within the scope of entries 28 to 30 of Annex XVII to Regulation (EC) No 1907/2006 (“REACH”) several substances, with the effect of restricting their placing on the market or use for supply to the general public as substances on their own, as constituents of other substances or in mixtures and to impose the requirement to mark packaging with the label “restricted to professional users”. This is consequent to the recent harmonised classification of these substances as CMR category 1A or 1B under Regulation (EC) No 1272/2008 of the European Parliament and of the Council of 16 December 2008 on classification, labelling and packaging of substances and mixtures, as amended by Commission Delegated Regulations (EU) 2024/2564 (OJ L, 2024/2564, 30.9.2024, ELIhttps://eur-lex.europa.eu/eli/reg_del/2024/2564/oj) and (EU) 2025/1222 (OJ L, 2025/1222, 2.4.2025, ELI: http://data.europa.eu/eli/reg_del/2025/1222/ojThis draft Commission Regulation furthermore aims to introduce additivity rules, to align with the European implementation of GHS (CLP). For those substances for which the CLP specifically foresees that additivity rules apply to determine the classification of a mixture, also in the restriction the sum of the concentrations of these individual classified substances would be used to determine whether the concentration limit applicable in the restriction is reached.This draft Commission Regulation also aims to introduce a derogation from entry 30 of Annex XVII to REACH for dinitrogen oxide (also known as nitrous oxide) (EC No. 233-032-0; CAS No 10024-97-2) for the placing on the market and use of nitrous oxide as food additive. This aims to ensure the continued legitimate sale of the substance used as food additive, e.g. as a propellant in spray cans for whipped cream or of small cartridges of nitrous oxide for amateur chefs for preparing espumas, as well as the presence of the food additive in food.</t>
  </si>
  <si>
    <t>Recently classified carcinogens, germ cell mutagens and reproductive toxicants (CMR) of category 1A and 1B as substances on their own, as constituents of other substances or in mixtures that are placed on the market or used for supply to the general public.</t>
  </si>
  <si>
    <t>The abovementioned substances recently received new harmonised classifications as CMR category 1A or 1B. In accordance with Article 68(2) of Regulation (EC) No 1907/2006 (REACH), the Commission may propose a restriction preventing the use of these substances and mixtures containing them by consumers.</t>
  </si>
  <si>
    <t>First quarter of 2026</t>
  </si>
  <si>
    <t>20 days from publication in the Official Journal of the EU. For the substances classified by Commission Delegated Regulation (EU) 2025/1222 and the related derogation[s] for nitrous oxide, the date of application will be 1 February 2027. This is to ensure alignment of the date of application of the inclusion of the substances in the scope of the restriction with the date of application of the classification of the substances under Commission Delegated Regulation (EU) 2025/1222. As the entry into force of the present Draft Commission Regulation is anticipated to be later than the date of applicability of the classifications under Commission Delegated Regulation (EU) 2024/2564, no date of application different from the date of entry into force is foreseen for substances classified by Commission Delegated Regulation (EU) 2024/2564.</t>
  </si>
  <si>
    <r>
      <rPr>
        <sz val="11"/>
        <rFont val="Calibri"/>
      </rPr>
      <t>https://members.wto.org/crnattachments/2026/TBT/EEC/26_00381_00_e.pdf
https://members.wto.org/crnattachments/2026/TBT/EEC/26_00381_01_e.pdf</t>
    </r>
  </si>
  <si>
    <t>-Regulation (EC) No 1907/2006 of the European Parliament and of the Council on the Registration, Evaluation, Authorisation and Restriction of Chemicals (REACH Regulation): http://eur-lex.europa.eu/legal-content/EN/TXT/?qid=1423064258789&amp;uri=CELEX:32006R1907</t>
  </si>
  <si>
    <t>AFDC 15 (766) DTZS,Waffles – Specification, First edition </t>
  </si>
  <si>
    <t>This Tanzania Standard specifies requirements, methods of sampling and testing for waffles intended for human consumptionNote: This Draft Tanzania Standard was also notified under SPS committee.</t>
  </si>
  <si>
    <t>Waffles and wafers (HS code(s): 190532); Food products in general (ICS code(s): 67.040)</t>
  </si>
  <si>
    <t>190532 - Waffles and wafers</t>
  </si>
  <si>
    <r>
      <rPr>
        <sz val="11"/>
        <rFont val="Calibri"/>
      </rPr>
      <t>https://members.wto.org/crnattachments/2026/TBT/TZA/26_00379_00_e.pdf</t>
    </r>
  </si>
  <si>
    <t>CODEX STAN 193, Codex General Standard for Contaminants and Toxins in foodsCODEX STAN 192, Codex General Standard for foods additivesTZS 4, Rounding off numerical valuesTZS 109, Food processing units - Code of hygiene - GeneralTZS 111, Bakery units – Code of hygieneTZS 118, Microbiology of food and animal feeding stuffs - Horizontal method for the enumeration of microorganisms - Colony-count technique at 30oCTZS 122-1, Microbiology of food and feeding stuffs - Horizontal method for the detection of salmonella sppTZS 125-1, Microbiology of the food chain — Horizontal method for the enumeration of coagulase-positive staphylococci (Staphylococcus aureus and other species) Part 1: Method using Baird-Parker agar medium.TZS 155, Sugar confectionery - Methods of sampling and analysisTZS 538, Pre -packaged food labeling - general requirementsTZS 731, Microbiology of food and feeding-stuffs - Horizontal method for the detection and enumeration of presumptive Escherichia Coli - Most Probable Number TechniqueTZS 2426-2, Microbiology of food and animal feeding stuffs — Horizontal method for the enumeration of yeasts and moulds Part 2: Colony count technique in products with water activity less than or equal to 0,95TZS 2753: Bakery products - methods of samplingTZS 3229, Foodstuffs-Determination of water activity</t>
  </si>
  <si>
    <t>AFDC 23 (3991) DTZS,Seamoss gel — Specification, First edition </t>
  </si>
  <si>
    <t>This Tanzania Standard specifies the requirements, sampling and test methods for seamoss gel produced from edible seamoss species intended for human consumptionNote: This Draft Tanzania Standard was also notified under SPS committee.</t>
  </si>
  <si>
    <r>
      <rPr>
        <sz val="11"/>
        <rFont val="Calibri"/>
      </rPr>
      <t>https://members.wto.org/crnattachments/2026/TBT/TZA/26_00376_00_e.pdf</t>
    </r>
  </si>
  <si>
    <t>CXS 192, General standard for food additivesCXS 193, General standard for contaminants and toxins in food and feedCXG 50, General guidelines on samplingTZS 4, Rounding off numerical valuesTZS 109, Food processing units —Code of hygiene — GeneralTZS 118, Microbiology of food and animal feeding stuffs — Horizontal method for the enumeration of microorganisms — Colony-count technique at 30 °CTZS 122, Microbiology of food and feeding stuffs — Horizontal method for the detection of Salmonella spp.TZS 125 (all parts), Microbiology of food and animal feeding stuffs — Horizontal method for the enumeration of coagulase-positive staphylococci (Staphylococcus aureus and other species)TZS 538, Packaging and labelling of foodsTZS 2750, Dried seaweed — SpecificationTZS 3950, Powdered seaweed -SpecificationTZS 1491, Fruit and Vegetable products - Determination of pH</t>
  </si>
  <si>
    <t>AFDC 23(4014) DTZS,Seamoss hotsauce — Specification, First edition </t>
  </si>
  <si>
    <t>This Tanzania Standard specifies the requirements, sampling and test methods for seamoss hotsauce intended for human consumption.Note: This Draft Tanzania Standard was also notified under SPS committee.</t>
  </si>
  <si>
    <r>
      <rPr>
        <sz val="11"/>
        <rFont val="Calibri"/>
      </rPr>
      <t>https://members.wto.org/crnattachments/2026/TBT/TZA/26_00378_00_e.pdf</t>
    </r>
  </si>
  <si>
    <t>CXS 192, General standard for food additivesCXS 193, General standard for contaminants and toxins in food and feedCXG 50, General guidelines on samplingTZS 4, Rounding off numerical valuesTZS 109, Food processing units —Code of hygiene — GeneralTZS 118, Microbiology of food and animal feeding stuffs — Horizontal method for the enumeration of microorganisms — Colony-count technique at 30 °CTZS 122, Microbiology of food and feeding stuffs — Horizontal method for the detection of Salmonella spp.TZS 538, Packaging and labelling of foodsTZS 731, Microbiology of food and feeding-stuffs — Horizontal method for the detection and enumeration of presumptive Escherichia coli — Most probable number techniqueTZS 2426, Microbiology of food and animal feeding stuffs — Horizontal method for the enumeration of yeasts and moulds — Part 1: Colony count technique in products with water activity greater than 0.95TZS 2750, Dried seaweed — SpecificationTZS 1496, Fruits and Vegetables – Determination of soluble solids.TZS 3950, powdered seaweed -SpecificationTZS 1488-2- Fruits, vegetables and derived products - Sampling and methods of test - Part 2: Determination of titratable acidy</t>
  </si>
  <si>
    <t>Republishing of Public Consultation No. 1, 8 January 2026, due to an error in the original text published in Edition No. 10 of the Official Gazette of the Union on 15 January 2026, Section 1, pages 13 to 16.https://in.gov.br/en/web/dou/-/consulta-publica-n-1-de-8-de-janeiro-de-2026-*-681431005</t>
  </si>
  <si>
    <r>
      <rPr>
        <sz val="11"/>
        <rFont val="Calibri"/>
      </rPr>
      <t>https://members.wto.org/crnattachments/2026/TBT/BRA/26_00393_00_x.pdf</t>
    </r>
  </si>
  <si>
    <t>AFDC 23 (3991) DTZS, Seamoss gel — Specification, First Edition</t>
  </si>
  <si>
    <t>This Tanzania Standard specifies the requirements, sampling and test methods for seamoss gel produced from edible seamoss species intended for human consumption.Note: This Draft Tanzania Standard was also notified under TBT Committee.</t>
  </si>
  <si>
    <t>Seaweeds and other algae (HS code(s): 12122); Fish and fishery products (ICS code(s): 67.120.30)</t>
  </si>
  <si>
    <r>
      <rPr>
        <sz val="11"/>
        <rFont val="Calibri"/>
      </rPr>
      <t>https://members.wto.org/crnattachments/2026/SPS/TZA/26_00374_00_e.pdf</t>
    </r>
  </si>
  <si>
    <t>Proposal for a Conformity Assessment Model and Requirements for Industry 4.0 Maturity Classification.</t>
  </si>
  <si>
    <r>
      <rPr>
        <sz val="11"/>
        <rFont val="Calibri"/>
      </rPr>
      <t>https://members.wto.org/crnattachments/2026/TBT/BRA/26_00347_00_e.pdf</t>
    </r>
  </si>
  <si>
    <t>1) Brazilian Official Gazette 10 on 15 January 2026, section 1, page 13</t>
  </si>
  <si>
    <t>Ordinance No. 63, 14 January 2026 </t>
  </si>
  <si>
    <t>National Institute of Metrology, Quality and Technology – Inmetro, issued the Ordinance No. 63, 14 January 2026 that approves the Technical Quality Regulation and Conformity Assessment Requirements for Gas Lighters - Consolidated and amends Inmetro Ordinance No. 282, 26 August 2020, which establishes the risk classification of economic activities associated with the acts of release under the responsibility of Inmetro within the scope of mandatory Conformity Assessment.</t>
  </si>
  <si>
    <t>Tacit approval for the public acts of release of Inmetro´s responsibility</t>
  </si>
  <si>
    <t>To provide the criteria and procedures for the classification of risk of economic activity and to set the deadline for tacit approvalIn accordance with paragraph 6 of Article 1 of Law No. 13.874 of 20 September 2019, public acts of release are the license, authorization, grant, registration, permission, license, registration, accreditation, study, plan, registration and other acts required, under any denomination, by public administration body or entity in the application of legislation, condition for the exercise of economic activity, including the beginning, the continuation and purpose for installation, construction, operation, production, operation, use, exercise or carrying out, in the public or private sphere, activity, service, establishment, profession, installation, operation, product, equipment, vehicle, building and others.Decree No. 10.178 of 18 December 2019, which regulates provisions of Law No. 13.874 of 20 September 2019, to provide for the criteria and procedures for the classification of risk of economic activity and to set the deadline for tacit approval, and amends Decree No. 9.094 of 17 July 2017, to include elements in the Letter of Services to the customer.Inmetro requires public acts of release for the exercise of economic activities.</t>
  </si>
  <si>
    <r>
      <rPr>
        <sz val="11"/>
        <rFont val="Calibri"/>
      </rPr>
      <t>https://members.wto.org/crnattachments/2026/TBT/BRA/final_measure/26_00348_00_x.pdf
https://in.gov.br/en/web/dou/-/portaria-n-63-de-14-de-janeiro-de-2026-681172096</t>
    </r>
  </si>
  <si>
    <t xml:space="preserve">New Source Performance Standards Review for Stationary Combustion 
Turbines and Stationary Gas Turbines&gt;_x000D_
</t>
  </si>
  <si>
    <t xml:space="preserve">The U.S. Environmental Protection Agency (EPA, or Agency) is finalizing amendments to the new source performance standards (NSPS) for stationary combustion turbines and stationary gas turbines pursuant to a review required by the Clean Air Act (CAA). As a result of this review, the EPA is establishing subcategories for new, modified, or reconstructed stationary combustion turbines based on size, rates of utilization, design efficiency, and fuel type. The EPA determined that combustion controls are the best system of emission reduction (BSER) for nitrogen oxide (NOX) emissions for most new, modified, or reconstructed stationary combustion turbines. For one subcategory, the BSER for NOX is combustion controls with the addition of selective catalytic reduction (SCR). The EPA further determined that the BSER for sulfur dioxide (SO2) emissions has not changed since the last NSPS review. Based on these determinations, the Agency is promulgating standards of performance in a new subpart of the Code of Federal Regulations (CFR). The Agency is also adding a subcategory for stationary combustion turbines that are used in temporary applications, exempting certain sources from title V requirements, and finalizing other provisions. The EPA is finalizing amendments to existing regulations to address or clarify specific technical and editorial issues.This final rule is effective on 15 January 2026. The incorporation by reference of certain publications listed in the rule is approved by the Director of the Federal Register as of 15 January 2026. The incorporation by reference of certain other material listed in the rule was approved by the Director of the Federal Register as of 8 July 2004, and 6 July 2006.91 Federal Register (FR) 1910, 15 January 2026; Title 40 Code of Federal Regulations (CFR) Part 60_x000D_
https://www.govinfo.gov/content/pkg/FR-2026-01-15/html/2026-00677.htm_x000D_
https://www.govinfo.gov/content/pkg/FR-2026-01-15/pdf/2026-00677.pdfThis final rule and previous actions notified under the symbol G/TBT/N/USA/2170 are identified by Docket Number EPA-HQ-OAR-2024-0419. The Docket Folder is available on Regulations.gov at https://www.regulations.gov/docket/EPA-HQ-OAR-2024-0419/document and provides access to primary and supporting documents as well as comments received. Documents are also accessible from Regulations.gov by searching the Docket Number._x000D_
</t>
  </si>
  <si>
    <t>Stationary combustion turbines and stationary gas turbines; Air quality (ICS code(s): 13.040); Internal combustion engines (ICS code(s): 27.020); Gas and steam turbines. Steam engines (ICS code(s): 27.040); Rotating machinery (ICS code(s): 29.160)</t>
  </si>
  <si>
    <t>13.040 - Air quality; 27.020 - Internal combustion engines; 27.040 - Gas and steam turbines. Steam engines; 29.160 - Rotating machinery; 13.040 - Air quality; 27.020 - Internal combustion engines; 27.040 - Gas and steam turbines. Steam engines; 29.160 - Rotating machinery</t>
  </si>
  <si>
    <r>
      <rPr>
        <sz val="11"/>
        <rFont val="Calibri"/>
      </rPr>
      <t>https://members.wto.org/crnattachments/2026/TBT/USA/final_measure/26_00358_00_e.pdf</t>
    </r>
  </si>
  <si>
    <t>DEAS 354: 2025, Plastic containers for up to 5 litres capacity — Specification</t>
  </si>
  <si>
    <t>This Draft East African Standard covers minimum requirements for plastic containers of nominal capacities up to and including 5 litres intended for storage of commodities other than explosives, compressed gases and radioactive materials.</t>
  </si>
  <si>
    <t>Packaging and distribution of goods (ICS code(s): 55)</t>
  </si>
  <si>
    <t>55 - Packaging and distribution of goods</t>
  </si>
  <si>
    <r>
      <rPr>
        <sz val="11"/>
        <rFont val="Calibri"/>
      </rPr>
      <t>https://members.wto.org/crnattachments/2026/TBT/RWA/26_00349_00_e.pdf</t>
    </r>
  </si>
  <si>
    <t>ISO 2859-1 Sampling procedures for inspection by attributesPart 1: Sampling schemes indexed by acceptance quality limit (AQL) for lot-by-lot inspection.ISO 4787:2021(en) Laboratory glass and plastic ware — Volumetric instruments — Methods for testing of capacity and for use</t>
  </si>
  <si>
    <t>Federal Motor Vehicle Safety Standards: Anti-Ejection Glazing for 
Bus Portals; Mandatory Applicability Beginning 30 October 2027</t>
  </si>
  <si>
    <t>This document partially grants a petition for reconsideration of the 30 October 2024 final rule (notified as G/TBT/N/USA/1123/Add.1) that established Federal Motor Vehicle Safety Standard (FMVSS) No. 217a, ''Anti-ejection glazing for bus portals; Mandatory applicability beginning 30 October 2027.'' The standard intends to drive installation of advanced glazing in over-the- road buses (motorcoaches) and other large buses to reduce occupant ejections. This final rule revises the minimum size requirement for applicable portals, adds a figure to illustrate a daylight opening periphery, and clarifies the target location for edge impact tests. This document denies all other portions of the petition for reconsideration, including revising the definition of ''daylight opening.''Effective Date: This final rule is effective 15 January 2026.    _x000D_
Compliance Date: The compliance date of this final rule is 30 October 2027. Optional early compliance is permitted.    _x000D_
Petitions for Reconsideration: If you wish to petition for reconsideration of this rule, your petition must be received by 2 March 2026.91 Federal Register (FR) 1709, 15 January 2026; Title 49 Code of Federal Regulations (CFR) Part 571_x000D_
https://www.govinfo.gov/content/pkg/FR-2026-01-15/html/2026-00728.htm_x000D_
https://www.govinfo.gov/content/pkg/FR-2026-01-15/pdf/2026-00728.pdfThis final rule; partial grant of a petition for reconsideration is identified by Docket Number NHTSA-2026-0001. The Docket Folder is available on Regulations.gov at https://www.regulations.gov/docket/NHTSA-2026-0001/document. The Docket provides access to primary document and comments if received, which is also accessible from Regulations.gov by searching the Docket Number. WTO Members and their stakeholders are asked to submit petitions for reconsideration of this rule to the USA TBT Enquiry Point by or before 4pmEastern Time on 2 March 2026. Petitions for reconsideration received by the USA TBT Enquiry Point from WTO Members and their stakeholders will be shared with NHTSA and will be submitted on Regulations.gov if received within the comment period.Previous actions notified under the symbol G/TBT/N/USA/1123 are identified by Docket Numbers NHTSA-2016-0052 and NHTSA-2024-0061</t>
  </si>
  <si>
    <t>Anti-ejection glazing for bus portals</t>
  </si>
  <si>
    <t>43.040 - Road vehicle systems; 43.040 - Road vehicle systems; 43.080 - Commercial vehicles; 43.080 - Commercial vehicles</t>
  </si>
  <si>
    <r>
      <rPr>
        <sz val="11"/>
        <rFont val="Calibri"/>
      </rPr>
      <t>https://members.wto.org/crnattachments/2026/TBT/USA/final_measure/26_00359_00_e.pdf</t>
    </r>
  </si>
  <si>
    <t>Pursuant to Executive Decree No. 44037-MINAE, Supplementary Regulations for the Implementation of Central American Technical Regulation (RTCA) No. 23.01.78:20: Electrical products. Inverter split-type, free air discharge, non-ducted air conditioners with variable refrigerant flow. Energy efficiency specifications, and Executive Decree No. 43616-COMEX-MEIC-MINAE publishing Resolution No. 451-2021 (COMIECO-XCVIII), of 17 December 2021, and the Annex thereto, "Central American Technical Regulation (RTCA) No. 23.01.78:20 Electrical products. Inverter split-type, free air discharge air conditioners with variable refrigerant flow"; and the provisions of the first recital of the notified resolution, equivalence is hereby granted.__________1 This information can be provided by including a website address, a PDF attachment, or other information on where the text of the final/modified measure and/or interpretative guidance can be obtained.</t>
  </si>
  <si>
    <r>
      <rPr>
        <sz val="11"/>
        <rFont val="Calibri"/>
      </rPr>
      <t>https://members.wto.org/crnattachments/2026/TBT/CRI/26_00362_00_s.pdf</t>
    </r>
  </si>
  <si>
    <t>Overview of proposed partial revision to the Food Labelling Standards under the Food Labelling Act and Cabinet Office Order prescribing matters that have a significant impact on safety when ingesting food as provided in Article 6, Paragraph (8) of the Food Labelling Act</t>
  </si>
  <si>
    <t>(1) Regarding immediate-type food allergies, the number of cases involving cashew nuts among tree nuts, as well as the proportion of cashew nut cases relative to the total number of tree nut cases, has been increasing. Since this is not considered a transient trend, the Food Labelling Standards will be partially amended to add cashew nuts to “specified allergenic ingredients” on food labels and cashew nuts will be required to be declared on food labels when they are used as ingredients or when additives derived therefrom are included.(2) Additional regulations for specific foods are reviewed as necessary, taking into account their consistency with general food labelling rules and current social conditions. For example, eliminate items that can be substituted in general food labelling, or items related to quality that are not required for mandatory labelling.</t>
  </si>
  <si>
    <t>Cashew nuts, Processed foods which are sold in Japan</t>
  </si>
  <si>
    <t>To provide the information for consumers to secure the opportunity to make an autonomous and rational choice of food.</t>
  </si>
  <si>
    <r>
      <rPr>
        <sz val="11"/>
        <rFont val="Calibri"/>
      </rPr>
      <t>https://members.wto.org/crnattachments/2026/TBT/JPN/26_00366_00_e.pdf</t>
    </r>
  </si>
  <si>
    <t>The Food Labelling Standards (Ordinance of the Cabinet Office No.10 of 2015) https://elaws.e-gov.go.jp/document?lawid=427M60000002010 (Japanese only)</t>
  </si>
  <si>
    <t>DEAS 934: 2025, Packaging — Flexible laminate tubes — Test method to assess the strength of the side seam</t>
  </si>
  <si>
    <t>This Draft East African Standard specifies methods for the assessment of the strength of the side seam of flexible laminate tubes._x000D_
It is applicable to flexible laminate tubes used for packaging pharmaceutical, cosmetic, hygiene, food and other household products.</t>
  </si>
  <si>
    <t>Cans. Tins. Tubes (ICS code(s): 55.120)</t>
  </si>
  <si>
    <t>55.120 - Cans. Tins. Tubes</t>
  </si>
  <si>
    <r>
      <rPr>
        <sz val="11"/>
        <rFont val="Calibri"/>
      </rPr>
      <t>https://members.wto.org/crnattachments/2026/TBT/RWA/26_00352_00_e.pdf</t>
    </r>
  </si>
  <si>
    <t>Commission proposal for a Regulation of the European Parliament and of the Council amending Regulations (EU) 2017/745 and (EU) 2017/746 as regards simplifying and reducing the burden of the rules on medical devices and in vitro diagnostic medical devices, and amending Regulation (EU) 2022/123 as regards the support of the European Medicines Agency for the expert panels on medical devices and Regulation (EU) 2024/1689 as regards the list of Union harmonisation legislation referred to in its Annex I, COM(2025)1023 final of 16.12.2025</t>
  </si>
  <si>
    <t>Regulation (EU) 2017/745 on medical devices (MD Regulation) and Regulation (EU) 2017/746 on in vitro diagnostics medical devices (IVD Regulation) establish a new regulatory framework for medical devices and in vitro diagnostic medical devices. Their objectives are a high level of protection of health for patients and users and the smooth functioning of the internal market for these products.The MD Regulation has been applicable since 26 May 2021. It was notified to the WTO as notification G/TBT/N/EU/71. In March 2023, the European Parliament and the Council adopted a staggered extension of its transition period, ranging from 31 December 2027 for high risk devices to 31 December 2028 for medium and lower risk devices. It was notified to the WTO as notification G/TBT/N/EU/943The IVD Regulation has been applicable since 26 May 2022. It was notified to the WTO as notification G/TBT/N/EU/72. In January 2022 and in July 2024, the European Parliament and the Council adopted a staggered extension of its transition periods, ranging from 31 December 2027 for high risk in vitro diagnostics to 31 December 2029 for lower risk in vitro diagnostics. They were notified to the WTO as notification G/TBT/N/EU/845 and G/TBT/N/EU/1044Despite considerable progress made over the past years, multiple challenges regarding the implementation of the Regulations on medical devices and in vitro diagnostics, persist. The notified proposal is the immediate follow up of the targeted evaluation of the EU regulatory framework for medical devices conducted by the European Commission in 2024/25. The notified proposal aims to streamline and future-proof the regulatory framework. Its main objective is to simplify rules, reduce the administrative burden on manufacturers and enhance the predictability and cost-efficiency of the certification procedure by notified bodies, while preserving a high level of public health protection and patient safety. The notified proposal aims to reduce the administrative burden including reporting obligations; enhance the predictability and cost-efficiency of the certification processes of notified bodies; make the conformity assessment requirements more proportionate, especially for low- and medium-risk devices; adapt conformity assessment procedures to the needs of breakthrough technology devices or orphan devices; enable further digitalisation; streamline procedures including those on governance and enhance availability of external expertise for evidence-based decision-making; enable the EU medical device sector to benefit from international cooperation including reliance, where appropriate;enhance coherence of the requirements throughout the Regulations and with other Union legislation.  </t>
  </si>
  <si>
    <t>Medical devices and in vitro diagnostic medical devices</t>
  </si>
  <si>
    <t>Protection of human health or safety; cost saving and productivity enhancement; harmonization.The notified draft maintains and supports achievement of the initial objectives of Regulations (EU) 2017/745 and (EU) 2017/746 which are to establish a robust, transparent, predictable and sustainable regulatory framework for medical devices and for in vitro diagnostic medical devices, ensuring a high level of safety and health whilst supporting innovation. They aim to ensure the smooth functioning of the internal market, taking as a base a high level of protection of health for patients and users, and taking into account the small-and medium-size enterprises that are active in this sector.</t>
  </si>
  <si>
    <t>2026</t>
  </si>
  <si>
    <t>20 days after its publication in the Official Journal of the European Union</t>
  </si>
  <si>
    <r>
      <rPr>
        <sz val="11"/>
        <rFont val="Calibri"/>
      </rPr>
      <t>https://members.wto.org/crnattachments/2026/TBT/EEC/26_00369_00_e.pdf
https://members.wto.org/crnattachments/2026/TBT/EEC/26_00369_01_e.pdf</t>
    </r>
  </si>
  <si>
    <t>Proposal for a Regulation of the European Parliament and of the Council amending Regulations (EU) 2017/745 and (EU) 2017/746 as regards simplifying and reducing the burden of the rules on medical devices and in vitro diagnostic medical devices, and amending Regulation (EU) 2022/123 as regards the support of the European Medicines Agency for the expert panels on medical devices and Regulation (EU) 2024/1689 as regards the list of Union harmonisation legislation referred to in its Annex I - COM/2025/1023 finalEUR-Lex - COM:2025:1023:FIN - EN - EUR-LexRegulation (EU) 2017/745 of the European Parliament and of the Council of 5 April 2017 on medical devices, amending Directive 2001/83/EC, Regulation (EC) No 178/2002 and Regulation (EC) No 1223/2009 and repealing Council Directives 90/385/EEC and 93/42/EEC (OJ L 117, 5.5.2017, p. 1).EUR-Lex - 02017R0745-20200424 - EN - EUR-Lex (europa.eu)Regulation (EU) 2017/746 of the European Parliament and of the Council of 5 April 2017 on in vitro diagnostic medical devices and repealing Directive 98/79/EC and Commission Decision 2010/227/EU (OJ L 117 5.5.2017, p. 176).EUR-Lex - 02017R0746-20170505 - EN - EUR-Lex (europa.eu)</t>
  </si>
  <si>
    <t>DEAS 886: 2025, Packaging — Flexible packaging material — Determination of residual solvents by headspace gas chromatography — Test method</t>
  </si>
  <si>
    <t>This Draft East African Standard prescribes a method for the quantitative determination of residual solvents in flexible packaging materials by headspace gas chromatography._x000D_
Residues from thermal decomposition products are not within the scope of this standard._x000D_
The method is applicable to flexible packaging materials that may consist of mono- or multilayer plastic films, paper or board, foil or combinations thereof.</t>
  </si>
  <si>
    <r>
      <rPr>
        <sz val="11"/>
        <rFont val="Calibri"/>
      </rPr>
      <t>https://members.wto.org/crnattachments/2026/TBT/RWA/26_00350_00_e.pdf</t>
    </r>
  </si>
  <si>
    <t>ISO 5725-2, Accuracy (trueness and precision) of measurement methods and results — Part 2: Basic method for the determination of repeatability and reproducibility of a standard measurement method</t>
  </si>
  <si>
    <t>AFDC 23 (4014) DTZS, Seamoss hotsauce — Specification, First Edition</t>
  </si>
  <si>
    <t>This Tanzania Standard specifies the requirements, sampling and test methods for seamoss hotsauce intended for human consumption.Note: This Draft Tanzania Standard was also notified under TBT Committee.</t>
  </si>
  <si>
    <r>
      <rPr>
        <sz val="11"/>
        <rFont val="Calibri"/>
      </rPr>
      <t>https://members.wto.org/crnattachments/2026/SPS/TZA/26_00373_00_e.pdf</t>
    </r>
  </si>
  <si>
    <t>DEAS 935: 2025, Packaging — Code of practice — Glass containers</t>
  </si>
  <si>
    <t>This Draft East African Standard gives guidelines on the manufacture, types, selection and use of glass containers for packaging.</t>
  </si>
  <si>
    <t>Bottles. Pots. Jars (ICS code(s): 55.100)</t>
  </si>
  <si>
    <t>55.100 - Bottles. Pots. Jars</t>
  </si>
  <si>
    <r>
      <rPr>
        <sz val="11"/>
        <rFont val="Calibri"/>
      </rPr>
      <t>https://members.wto.org/crnattachments/2026/TBT/RWA/26_00353_00_e.pdf</t>
    </r>
  </si>
  <si>
    <t>AFDC 23 (3992) DTZS, Spiced seaweed powder — Specification, First Edition</t>
  </si>
  <si>
    <t>This Tanzania Standard specifies the requirements, sampling and test methods for spiced seaweed powder produced from edible seaweed species intended for human consumption.Note: This Draft Tanzania Standard was also notified under TBT Committee.</t>
  </si>
  <si>
    <t>Seaweeds and other algae (HS code(s): 12122); Fishing and fish breeding (ICS code(s): 65.150)</t>
  </si>
  <si>
    <t>65.150 - Fishing and fish breeding</t>
  </si>
  <si>
    <r>
      <rPr>
        <sz val="11"/>
        <rFont val="Calibri"/>
      </rPr>
      <t>https://members.wto.org/crnattachments/2026/SPS/TZA/26_00372_00_e.pdf</t>
    </r>
  </si>
  <si>
    <t>Hazard Communication Standard</t>
  </si>
  <si>
    <t xml:space="preserve">The Occupational Safety and Health Administration (OSHA) is extending the compliance dates in its Hazardous Communications Standard (29 CFR 1910.1200), published in the Federal Register on 20 May 2024 (89 FR 44144) (notified as G/TBT/N/USA/1697/Add.4), by four months. The compliance date in Sec. 1910.1200(j)(2)(i) is extended from 19 January 2026, until 19 May 2026; the compliance date in Sec. 1910.1200(j)(2)(ii) is extended from 20 July 2026 to 20 November 2026; the compliance date in Sec. 1910.1200(j)(3)(i) is extended from 19 July 2027 to 19 November 2027; and the compliance date in Sec. 1910.1200(j)(3)(ii) is extended from 19 January 2028 to 19 May 2028.Effective Date 15 January 2026.91 Federal Register (FR) 1695, 15 January 2026; Title 29 Code of Federal Regulations (CFR) Part 1910_x000D_
https://www.govinfo.gov/content/pkg/FR-2026-01-15/html/2026-00653.htm_x000D_
https://www.govinfo.gov/content/pkg/FR-2026-01-15/pdf/2026-00653.pdfThis and previous actions notified under the symbol G/TBT/N/USA/1697 are identified by Docket Number OSHA-2019-0001. The Docket Folder is available on Regulations.gov at https://www.regulations.gov/search?filter=OSHA-2019-0001 and provides access to primary and supporting documents as well as comments received. Documents are also accessible from Regulations.gov by searching the Docket Number._x000D_
_x000D_
</t>
  </si>
  <si>
    <t>29 - ORGANIC CHEMICALS; 29 - ORGANIC CHEMICALS</t>
  </si>
  <si>
    <t>13.020 - Environmental protection; 13.020 - Environmental protection; 13.100 - Occupational safety. Industrial hygiene; 13.100 - Occupational safety. Industrial hygiene; 71.020 - Production in the chemical industry; 71.020 - Production in the chemical industry; 71.100 - Products of the chemical industry; 71.100 - Products of the chemical industry</t>
  </si>
  <si>
    <r>
      <rPr>
        <sz val="11"/>
        <rFont val="Calibri"/>
      </rPr>
      <t>https://members.wto.org/crnattachments/2026/TBT/USA/26_00357_00_e.pdf</t>
    </r>
  </si>
  <si>
    <t>DEAS 931: 2025, Packaging ancillary materials — Code of practice — Desiccants</t>
  </si>
  <si>
    <t>This Draft East Africa Standard gives the guidelines on the selection and use of desiccants in packaging.</t>
  </si>
  <si>
    <t>Packaging materials and accessories (ICS code(s): 55.040)</t>
  </si>
  <si>
    <t>55.040 - Packaging materials and accessories</t>
  </si>
  <si>
    <r>
      <rPr>
        <sz val="11"/>
        <rFont val="Calibri"/>
      </rPr>
      <t>https://members.wto.org/crnattachments/2026/TBT/RWA/26_00351_00_e.pdf</t>
    </r>
  </si>
  <si>
    <t>ISO 15106-3, Plastics — Film and sheeting — Determination of water vapour transmission rate — Part 3: Electrolytic detection sensor method</t>
  </si>
  <si>
    <t>AFDC 15 (766) DTZS, Waffles – Specification, First Edition</t>
  </si>
  <si>
    <t>This Tanzania Standard specifies requirements, methods of sampling and testing for waffles intended for human consumption.Note: This Draft Tanzania Standard was also notified under TBT Committee.</t>
  </si>
  <si>
    <r>
      <rPr>
        <sz val="11"/>
        <rFont val="Calibri"/>
      </rPr>
      <t>https://members.wto.org/crnattachments/2026/SPS/TZA/26_00375_00_e.pdf</t>
    </r>
  </si>
  <si>
    <t>Proyecto de Resolución Directoral para el establecimiento de requisitos fitosanitarios de necesario cumplimiento en la importación de granos de mostaza (Brassica juncea) de origen y procedencia Ucrania (Draft Directorial Resolution establishing mandatory phytosanitary requirements for the importation of mustard (Brassica juncea) seeds originating in and coming from Ukraine)</t>
  </si>
  <si>
    <t>The notified draft phytosanitary requirements governing the importation into Peru of mustard (Brassica juncea) seeds originating in and coming from Ukraine are being submitted for public consultation, following the completion of the relevant pest risk analysis.</t>
  </si>
  <si>
    <t>Mustard (Brassica juncea) seeds (HS code: 120750)</t>
  </si>
  <si>
    <t>120750 - Mustard seeds, whether or not broken</t>
  </si>
  <si>
    <r>
      <rPr>
        <sz val="11"/>
        <rFont val="Calibri"/>
      </rPr>
      <t>https://members.wto.org/crnattachments/2026/SPS/PER/26_00361_00_s.pdf
El texto lo puede descargar de la página web del SENASA
 cuya ruta es la siguiente: https://www.gob.pe/institucion/senasa/campa%C3%B1as/4831-consulta-publica-de-importaciones-agricolas</t>
    </r>
  </si>
  <si>
    <t>Pursuant to Executive Decree No. 44037-MINAE, Supplementary Regulations for the Implementation of Central American Technical Regulation (RTCA) No. 23.01.78:20: Electrical products. Inverter split-type, free air discharge, non-ducted air conditioners with variable refrigerant flow. Energy efficiency specifications, and Executive Decree No. 43616-COMEX-MEIC-MINAE publishing Resolution No. 451-2021 (COMIECO-XCVIII), of 17 December 2021, and the Annex thereto, "Central American Technical Regulation (RTCA) No. 23.01.78:20 Electrical products. Inverter split-type, free air discharge air conditioners with variable refrigerant flow" and the provisions of the first recital of the notified resolution, equivalence is hereby granted.__________1 This information can be provided by including a website address, a PDF attachment, or other information on where the text of the final/modified measure and/or interpretative guidance can be obtained.</t>
  </si>
  <si>
    <r>
      <rPr>
        <sz val="11"/>
        <rFont val="Calibri"/>
      </rPr>
      <t>https://members.wto.org/crnattachments/2026/TBT/CRI/final_measure/26_00363_00_s.pdf</t>
    </r>
  </si>
  <si>
    <t xml:space="preserve">Amendment to the Law Prohibiting Advertising and Restricting the Marketing of Tobacco and Smoking Products, 5743-1983, incorporated into Israel's Economic Policy Law (Legislation Amendments for the Implementation of the Economic Policy for Budget Year 2026), 5786-2026, Chapter 12:  Law on the Supervision of Smoking Products for Tax Purposes (40 pages in Hebrew. Please see Section 57 on pages 28, and for its entry into force see Section 67 on page 30). _x000D_
</t>
  </si>
  <si>
    <t xml:space="preserve">Draft amendment to the Law Prohibiting Advertising and Restricting the Marketing of Tobacco and Smoking Products, 5743-1983, is incorporated into Israel's Economic Policy Law (Legislation Amendments for the Implementation of the Economic Policy for Budget Year 2026), 5786-2026, Chapter 12:  Law on the Supervision of Smoking Products for Tax Purposes, and published by the Tax Authority in the Ministry of Finance._x000D_
Israel's Economic Policy Law is a government bill presented to the Knesset (Israel's parliament) alongside the State Budget Law. This legislation incorporates government legislative amendments for structural, institutional, and policy reforms necessary to fulfil its economic policy. The Economic Policy Law devotes a separate chapter to a set of Laws and Orders regulating the market of cigarettes, e-cigarettes, and other smoking products, aiming to protect public health._x000D_
In recent years, there has been a trend of "renewal" in the smoking market characterized by the emergence of smoking devices, primarily reusable and disposable electronic cigarettes. In response to market changes, the government decided in 2021 to tax electronic cigarettes in a manner similar to that of tobacco products. so that e-cigarette smokers will be encouraged through price to reduce consumption, and to reduce the entry of non-smokers (especially youth) into the world of smoking through e-cigarettes. Despite the applicable purchase tax on cigarettes, the purchase tax on electronic cigarettes is rarely collected in practice, and the scope of consumption remains unchanged. This new legislation will cancel the Tobacco Ordinance of 1960 and set the "Supervision of Smoking Products for Tax Purposes Law, 5775 2026" instead.The goal of the new Law is to create an inspection and control system applying to smoking products through the following: registration and licensing of those involved in the supply chain, and inspection powers.The indirect amendment to the Advertising Prohibition Law is part of a complementary act to the new law, with the specific determination of the uniform color as a significant aid to tax enforcement. As evidence, the Tax Authority law states that the non-uniform color of an electronic cigarette is evidence of non-payment of tax.The notified amendment is intended, among other goals, to address these needs and adds the following:Adds new definitions to Section 1;Adds a new Section 7(d) determining that “No person shall manufacture, market, or store for marketing an electronic cigarette and cartridges unless it is black in color”;Adds a new Section 7(e) determining that “No person shall manufacture, market, or store for marketing an electronic cigarette unless the volume is marked on the electronic cigarette, cartridge, refill material, and their packaging”;Adds a new Section 14(a) determining that "The Minister of Health may, by order, with the approval of the Knesset Health Committee - (1) determine that a particular product is a smoking product provided that it is intended for smoking, sniffing, chewing, sucking or introduction into the body in another way and that its determination as a smoking product is in accordance with the purpose of this Law; (2) exclude a smoking product from the application of the Law.";Deletes the references to the Tobacco Ordinance from Section 15(a)._x000D_
_x000D_
_x000D_
</t>
  </si>
  <si>
    <t>Electronic cigarettes and cartridges (HS code(s): 854340); (ICS code(s): 65.160)</t>
  </si>
  <si>
    <t>854340 - Electronic cigarettes and similar personal electric vaporizing devices</t>
  </si>
  <si>
    <t>Protection of human health, in particular of minors. The importance of determining a uniform color for an electronic cigarette, in reducing the attractiveness of the product in among children and teenagers, and reducing the initiation of smoking among minors</t>
  </si>
  <si>
    <r>
      <rPr>
        <sz val="11"/>
        <rFont val="Calibri"/>
      </rPr>
      <t>https://members.wto.org/crnattachments/2026/TBT/ISR/26_00368_00_x.pdf</t>
    </r>
  </si>
  <si>
    <t xml:space="preserve">Law Prohibiting Advertising and Restricting the Marketing of Tobacco and Smoking Products, 5743-1983_x000D_
</t>
  </si>
  <si>
    <t>Department of Agriculture Administrative Circular No. 09, Series of 2025, Guidelines on the Bilateral Recognition on Regionalization of High Pathogenicity Avian Influenza (HPAI) from Accredited Countries for Export of Live Birds (Poultry and Non-Poultry), its Products and By-Products</t>
  </si>
  <si>
    <t>The DA Administrative Circular No. 9, series of 2025, Guidelines on the Bilateral Recognition on Regionalization of High Pathogenicity Avian Influenza (HPAI) from Accredited Countries for Export of Live Birds (Poultry and Non-Poultry), its Products and By-Products, provides guidance for applicant countries to implement zoning or regionalization.This circular, like the one for ASF, is a major shift from a country-wide import ban to a science-based regionalization approach.</t>
  </si>
  <si>
    <t>01.05 Live poultry, that is to say, fowls of the species, Gallus domesticus, ducks, geese, turkeys and, guinea fowls_x000D_
01.06.20 — Birds of prey_x000D_
01.06.32 --- Psittaciformes_x000D_
01.06.33 --- Ostriches, emus_x000D_
02.07 Meat and edible offal, of the poultry of heading 01.05, fresh, chilled or frozen_x000D_
04.07 Birds’ eggs, in shell, fresh, (except for preserved or cooked)</t>
  </si>
  <si>
    <t>01 - LIVE ANIMALS; 06 - LIVE TREES AND OTHER PLANTS; BULBS, ROOTS AND THE LIKE; CUT FLOWERS AND ORNAMENTAL FOLIAGE; 33 - ESSENTIAL OILS AND RESINOIDS; PERFUMERY, COSMETIC OR TOILET PREPARATIONS; 02 - MEAT AND EDIBLE MEAT OFFAL; 04 - DAIRY PRODUCE; BIRDS' EGGS; NATURAL HONEY; EDIBLE PRODUCTS OF ANIMAL ORIGIN, NOT ELSEWHERE SPECIFIED OR INCLUDED</t>
  </si>
  <si>
    <t>65.020.30 - Animal husbandry and breeding; 67.120.20 - Poultry and eggs</t>
  </si>
  <si>
    <t>Animal diseases; Animal health; Avian Influenza</t>
  </si>
  <si>
    <r>
      <rPr>
        <sz val="11"/>
        <rFont val="Calibri"/>
      </rPr>
      <t>https://members.wto.org/crnattachments/2026/SPS/PHL/26_00364_00_e.pdf</t>
    </r>
  </si>
  <si>
    <t>Animal health requirements for horses competing in the Asian Games 2026</t>
  </si>
  <si>
    <t>Japan will host the equestrian competitions of the 20th Asian Games Aichi-Nagoya 2026, which will be held from 19 September to 4 October 2026. To facilitate the smooth cross-border movement of horses, the animal health requirements for horses competing in the Asian Games 2026 have been established. Under the requirements, the horses are required to stay only in countries/regions that have bilateral animal health requirements with Japan during the 60 days prior to the commencement of the 10-day pre-export quarantine before departure for Japan. These countries/regions have already undergone the required risk assessment procedures. Among these countries /regions, the horses are required to undergo the pre-export quarantine in a specific country/region, which was designated by the organizing committee for logistical reasons. Other details, including testing and vaccination requirements, are also set out in the requirements.</t>
  </si>
  <si>
    <t>Live horses</t>
  </si>
  <si>
    <r>
      <rPr>
        <sz val="11"/>
        <rFont val="Calibri"/>
      </rPr>
      <t>https://members.wto.org/crnattachments/2026/SPS/JPN/26_00322_00_e.pdf</t>
    </r>
  </si>
  <si>
    <t>Article 10.7 (TBT)</t>
  </si>
  <si>
    <t>Proyecto de Resolución Directoral para el establecimiento de requisitos fitosanitarios de necesario cumplimiento en la importación de grano de mostaza (Brassica nigra) de origen y procedencia Ucrania (Draft Directorial Resolution establishing mandatory phytosanitary requirements for the importation of mustard (Brassica nigra) seeds originating in and coming from Ukraine)</t>
  </si>
  <si>
    <t>The notified draft phytosanitary requirements governing the importation into Peru of mustard (Brassica nigra) seeds originating in and coming from Ukraine are being submitted for public consultation, following the completion of the relevant pest risk analysis.</t>
  </si>
  <si>
    <t>Mustard (Brassica nigra) seeds (HS code: 120750)</t>
  </si>
  <si>
    <r>
      <rPr>
        <sz val="11"/>
        <rFont val="Calibri"/>
      </rPr>
      <t>https://members.wto.org/crnattachments/2026/SPS/PER/26_00360_00_s.pdf
El texto lo puede descargar de la página web del SENASA
 cuya ruta es la siguiente: https://www.gob.pe/institucion/senasa/campa%C3%B1as/4831-consulta-publica-de-importaciones-agricolas</t>
    </r>
  </si>
  <si>
    <t>Amendments to the Enforcement Ordinance of the Standards of Feed and Feed Additives (Amendment of maximum residue limits (MRLs) for Cyfluthrin)</t>
  </si>
  <si>
    <t>The proposed maximum residue limits (MRLs) for Cyfluthrin notified in G/SPS/N/JPN/1349 (dated 1 July 2025) were adopted.These amendments have been published in "KAMPO" (6 January 2026) (Official Government Gazette available in Japanese only).The date of entry into force: 6 January 2026 (milo and hay), 6 January 2027 (wheat and maize)Commodity (for feed)      Proposed MRL (mg/kg)      Current MRL (mg/kg)Wheat                                  0.2                                            2Maize                                   0.05                                          2Milo                                      3.5                                             2Hay                                      50                                              3Note:- Residue definition for enforcement: Cyfluthrin (sum of isomers).- Hay includes hay and fodder (dry), straw, forage (green) and silage. The MRL is set as 90% dry matter base.</t>
  </si>
  <si>
    <t>Wheat (HS code: 10.01), maize (HS code: 10.05), milo (HS code: 10.07), hay (HS code: 12.13, 12.14) for feed</t>
  </si>
  <si>
    <t>1007 - Grain sorghum; 1005 - Maize or corn; 1001 - Wheat and meslin; 1213 - Cereal straw and husks, unprepared, whether or not chopped, ground, pressed or in the form of pellets.; 1214 - Swedes, mangolds, fodder roots, hay, alfalfa, clover, sainfoin, forage kale, lupines, vetches and similar forage products, whether or not in the form of pellets; 1001 - Wheat and meslin; 1005 - Maize or corn; 1007 - Grain sorghum; 1213 - Cereal straw and husks, unprepared, whether or not chopped, ground, pressed or in the form of pellets.; 1214 - Swedes, mangolds, fodder roots, hay, alfalfa, clover, sainfoin, forage kale, lupines, vetches and similar forage products, whether or not in the form of pellets</t>
  </si>
  <si>
    <t>KS EN 1991-1-2: 2002/DNA:2025 Draft Kenya National Annex to Eurocode 1— Actions on structures ― Part 1-2: General actions – Actions on structures exposed to fire</t>
  </si>
  <si>
    <t>This Draft National Annex gives: The Kenya decisions for the Nationally Determined Parameters described in the following subclauses of KS EN 1991-1-2:2002:_x000D_
– 2.4 (4)_x000D_
– 3.1 (10)_x000D_
– 3.3.1.2 (1)_x000D_
– 3.3.1.3 (1)_x000D_
– 3.3.2 (2)_x000D_
– 4.2.2 (2)_x000D_
– 4.3.1 (2)</t>
  </si>
  <si>
    <t>Fire-resistance of building materials and elements (ICS code(s): 13.220.50)</t>
  </si>
  <si>
    <t>13.220.50 - Fire-resistance of building materials and elements</t>
  </si>
  <si>
    <r>
      <rPr>
        <sz val="11"/>
        <rFont val="Calibri"/>
      </rPr>
      <t>https://members.wto.org/crnattachments/2026/TBT/KEN/26_00343_00_e.pdf</t>
    </r>
  </si>
  <si>
    <t>Na to BS EN 1991-1-2:2002, Eurocode 1 - Actions on structures - Part 1-1: General actions - Actions on structures exposed to fire</t>
  </si>
  <si>
    <t>Pipeline Safety: Class Location Change Requirements</t>
  </si>
  <si>
    <t>The Pipeline and Hazardous Materials Safety Administration (PHMSA) is updating its regulations to allow operators to apply modern risk management principles in addressing the safety of gas pipelines affected by class location changes. Relying on an approach originally developed in the 1950s, PHMSA's regulations use class locations to provide an additional margin of safety in the design, construction, testing, operation, and maintenance of gas pipelines based on population density. When the class location of a pipeline changes due to an increase in population density, an operator may need to take certain actions to confirm or to revise the maximum allowable operating pressure of a segment. Because the methods traditionally used for that purpose do not account for modern risk management principles, PHMSA has granted special permits for more than two decades allowing operators to use an integrity-management-based alternative. This final rule adopts that 'IM alternative' by regulation to provide operators with an additional method for confirming or restoring the maximum allowable operating pressure of certain eligible segments that experience class location changes.This rule is effective 16 March 2026. The incorporation by reference of certain material listed in this rule is approved by the Director of the Federal Register as of 16 March 2026. Comment related to the information collection may be submitted by 16 March 2026, as detailed in Section VII.H.91 Federal Register (FR) 1608, 14 January 2026; Title 49 Code of Federal Regulations (CFR) Part 192_x000D_
https://www.govinfo.gov/content/pkg/FR-2026-01-14/html/2026-00566.htm_x000D_
https://www.govinfo.gov/content/pkg/FR-2026-01-14/pdf/2026-00566.pdf_x000D_
This final rule and previous actions notified under the symbol G/TBT/N/USA/1387 are identified by Docket Number PHMSA-2017-0151. The Docket Folder is available on Regulations.gov at https://www.regulations.gov/docket/PHMSA-2017-0151/document and provides access to primary and supporting documents as well as comments received. Documents are also accessible from Regulations.gov by searching the Docket Number.</t>
  </si>
  <si>
    <t>Natural gas transmission pipelines</t>
  </si>
  <si>
    <t>75.180 - Equipment for petroleum and natural gas industries; 75.180 - Equipment for petroleum and natural gas industries; 75.200 - Petroleum products and natural gas handling equipment; 75.200 - Petroleum products and natural gas handling equipment</t>
  </si>
  <si>
    <r>
      <rPr>
        <sz val="11"/>
        <rFont val="Calibri"/>
      </rPr>
      <t>https://members.wto.org/crnattachments/2026/TBT/USA/final_measure/26_00336_00_e.pdf</t>
    </r>
  </si>
  <si>
    <t>The Safer Affordable Fuel-Efficient (SAFE) Vehicles Rule III for Model Years 2022 to 2031 Passenger Cars and Light Trucks</t>
  </si>
  <si>
    <t xml:space="preserve">The National Highway Traffic Safety Administration (NHTSA) is announcing a 15-day extension of the comment period for the proposed rule (notified as G/TBT/N/USA/2253) entitled The Safer Affordable Fuel-Efficient (SAFE) Vehicles Rule III for Model Years 2022 to 2031 Passenger Cars and Light Trucks, published in the 5 December 2025 issue of the Federal Register. NHTSA is also extending the comment period for the Draft Supplemental Environmental Impact Statement (Draft SEIS) that accompanies the proposed rule. The comment period was to end on 20 January 2026 (45 days after publication of the proposed rule in the Federal Register). This document extends the comment period to February 4 to allow the public additional time to comment on the proposed rule. NHTSA is denying requests for additional public hearings based on the number of testifiers that signed up to testify for NHTSA's virtual public hearing, which was announced via Federal Register notice (notified as G/TBT/N/USA/2253/Add.1) on 12 December 2025  and held on 7 January 2026.The comment period for the proposed rule (90 FR 56438) published 5 December 2025, is extended. Comments on the proposed rule and Draft SEIS must be received by 4 February 2026.  Late-filed comments may be considered so far as possible without incurring additional expense or delay.91 Federal Register (FR) 1494, 14 January 2026; Title 49 Code of Federal Regulations (CFR) Parts 523531533536, and 537_x000D_
https://www.govinfo.gov/content/pkg/FR-2026-01-14/html/2026-00537.htm_x000D_
https://www.govinfo.gov/content/pkg/FR-2026-01-14/pdf/2026-00537.pdfThis notification of public hearing and the notice of proposed rulemaking notified as G/TBT/N/USA/2253 are identified by Docket Numbers NHTSA-2025-0491. The Docket Folder is available on Regulations.gov at https://www.regulations.gov/docket/NHTSA-2025-0491/document and provides access to primary documents as well as comments received. Documents are also accessible from Regulations.gov by searching the Docket Number. WTO Members and their stakeholders are asked to submit comments to the USA TBT Enquiry Point by or before 4pmEastern Time on 4 February 2026. Comments received from WTO Members and their stakeholders will be shared with the NHTSA and will also be submitted to the Docket on Regulations.gov if received within the comment period.Draft Supplemental Environmental Impact Statement (Draft SEIS) Notice of Intent content, Summary and Appendices:_x000D_
https://downloads.regulations.gov/NHTSA-2025-0490-0001/attachment_1.pdf_x000D_
https://downloads.regulations.gov/NHTSA-2025-0490-0001/attachment_2.pdf_x000D_
https://downloads.regulations.gov/NHTSA-2025-0490-0001/attachment_3.pdf_x000D_
https://downloads.regulations.gov/NHTSA-2025-0490-0001/attachment_4.pdf_x000D_
The Draft Supplemental Environmental Impact Statement (Draft SEIS) that accompanies the proposal is identified by Docket Number NHTSA-2025-0490. The Docket Folder is available on Regulations.gov at https://www.regulations.gov/docket/NHTSA-2025-0490/document and provides access to the Draft SEIS-Notice of Intent content, Summary and Appendices._x000D_
_x000D_
</t>
  </si>
  <si>
    <t>Light-duty vehicles fuel economy; Quality (ICS code(s): 03.120); Test conditions and procedures in general (ICS code(s): 19.020); Passenger cars. Caravans and light trailers (ICS code(s): 43.100)</t>
  </si>
  <si>
    <t>03.120 - Quality; 19.020 - Test conditions and procedures in general; 43.100 - Passenger cars. Caravans and light trailers; 03.120 - Quality; 19.020 - Test conditions and procedures in general; 43.100 - Passenger cars. Caravans and light trailers</t>
  </si>
  <si>
    <t>Technical Regulation for Child restraint systems and strollers.</t>
  </si>
  <si>
    <t>8715 9401</t>
  </si>
  <si>
    <t>9401 - Seats, whether or not convertible into beds, and parts thereof, n.e.s. (excl. medical, surgical, dental or veterinary of heading 9402); 8715 - Baby carriages and parts thereof, n.e.s.; 8715 - Baby carriages and parts thereof, n.e.s.; 9401 - Seats, whether or not convertible into beds, and parts thereof, n.e.s. (excl. medical, surgical, dental or veterinary of heading 9402)</t>
  </si>
  <si>
    <r>
      <rPr>
        <sz val="11"/>
        <rFont val="Calibri"/>
      </rPr>
      <t xml:space="preserve">https://members.wto.org/crnattachments/2026/TBT/SAU/modification/26_00344_00_x.pdf
https://members.wto.org/crnattachments/2026/TBT/SAU/modification/26_00344_01_x.pdf
Aligning  the  provisions  of  the  Technical  Regulation  with  the  recently  issued  Product Safety Law.
</t>
    </r>
  </si>
  <si>
    <t>Nail Products Containing Methyl Methacrylate (MMA) as a Priority Product Department of Toxic Substances Control Reference Number: R-2023-03R</t>
  </si>
  <si>
    <t>This action by the Department of Toxic Substances Control (DTSC) amends Safer Consumer Products regulations to add nail products containing methyl methacrylate (MMA) at concentrations greater than 1,000 parts per million (ppm) to the priority products list as a priority product._x000D_
The State of California Office of Administrative Law (OAL) approves this regulatory action pursuant to section 11349.3 of the Government Code. This regulatory action becomes effective on 1 April 2026. Refer to the California Code of Regulations (CCR), Title  22,  Division  4.5,  Chapter  55,  Section  69511Listing Nail Products Containing Methyl Methacrylate (MMA) at Concentrations Greater Than 1,000 Parts per Million (ppm) as a Priority Product:_x000D_
https://dtsc.ca.gov/listing-nail-products-containing-methyl-methacrylate-mma-as-a-priority-product/Comments associated with the rulemaking are accessible at https://calsafer.dtsc.ca.gov/cms/search/?type=Submission&amp;subtype=Comments&amp;keyword=12750</t>
  </si>
  <si>
    <t>Nail products containing methyl methacrylate (MMA) – including nail coatings and artificial nails; Quality (ICS code(s): 03.120); Environmental protection (ICS code(s): 13.020); Esters (ICS code(s): 71.080.70); Cosmetics. Toiletries (ICS code(s): 71.100.70)</t>
  </si>
  <si>
    <t>03.120 - Quality; 03.120 - Quality; 13.020 - Environmental protection; 13.020 - Environmental protection; 71.080.70 - Esters; 71.080.70 - Esters; 71.100.70 - Cosmetics. Toiletries; 71.100.70 - Cosmetics. Toiletries</t>
  </si>
  <si>
    <r>
      <rPr>
        <sz val="11"/>
        <rFont val="Calibri"/>
      </rPr>
      <t>https://members.wto.org/crnattachments/2026/TBT/USA/final_measure/26_00337_00_e.pdf
https://members.wto.org/crnattachments/2026/TBT/USA/final_measure/26_00337_01_e.pdf</t>
    </r>
  </si>
  <si>
    <t>KS EN 1991-1-1:2002/DNA:2025 Draft Kenya National Annex to Eurocode 1 — Actions on structures ― Part 1-1: General actions – Densities, self-weight, imposed loads for buildings</t>
  </si>
  <si>
    <t>The Draft National Annex gives the Kenya decisions for the Nationally Determined Parameters described in the following subclauses of KS EN 1991-1-1:2002: 2.2 (3) 5.2.3 (1) to 5.2.3 (5) 6.3.1.1 (Table 6.1) 6.3.1.2 (l)P (Table 6.2) 6.3.1.2 (10) 6.3.1.2 (11) 6.3.2.2 (l)P (Table 6.4) 6.3.3.2 (1) (Table 6.8) 6.3.4.2 (Table 6.10) 6.4 (1) (Table 6.12)</t>
  </si>
  <si>
    <t>Technical aspects (ICS code(s): 91.010.30)</t>
  </si>
  <si>
    <t>91.010.30 - Technical aspects</t>
  </si>
  <si>
    <r>
      <rPr>
        <sz val="11"/>
        <rFont val="Calibri"/>
      </rPr>
      <t>https://members.wto.org/crnattachments/2026/TBT/KEN/26_00341_00_e.pdf</t>
    </r>
  </si>
  <si>
    <t>BS EN 1991-1-1:2002, UK National Annex to Eurocode 1: Actions on structures – Part 1-1: General actions – Densities, self-weight, imposed loads for buildings</t>
  </si>
  <si>
    <t>Ministerial Regulation Prescribing Industrial Products for Paper for Food Contact to Conform to the Standard B.E. 2568 (2025)</t>
  </si>
  <si>
    <t>This addendum is to inform that the Ministerial Regulation mandates paper for food contact to conform to the Thai Industrial Standard TIS 2948-2562(2019) Paper for Food Contact and will enter into force on 22 June 2026.</t>
  </si>
  <si>
    <t>Paper for food contact (ICS: 55.040, 85.080.90, 85.080.99)</t>
  </si>
  <si>
    <t>55.040 - Packaging materials and accessories; 55.040 - Packaging materials and accessories; 67.250 - Materials and articles in contact with foodstuffs; 67.250 - Materials and articles in contact with foodstuffs; 85.080 - Paper products; 85.080 - Paper products; 85.080.99 - Other paper products; 85.080.99 - Other paper products</t>
  </si>
  <si>
    <r>
      <rPr>
        <sz val="11"/>
        <rFont val="Calibri"/>
      </rPr>
      <t>https://members.wto.org/crnattachments/2026/TBT/THA/final_measure/26_00339_00_x.pdf</t>
    </r>
  </si>
  <si>
    <t>Modifica Resolución No 1.295 de 2014, que establece requisitos fitosanitarios de importación para material de propagación de las especies que indica, procedentes de Australia (Amendment to Resolution No. 1.295 of 2014, which establishes phytosanitary requirements governing the importation from Australia of propagation material for certain species)</t>
  </si>
  <si>
    <t>The notified Resolution updates the phytosanitary requirements for citrus (Citrus spp.), pomegranate (Punica granatum) and vine (Vitis spp.) propagation material from Australia, established in Resolution No. 1.295/2014, as a result of the removal of the pests Tomato bigbud phytoplasma, Apple stem grooving virus (= Citrus tatter leaf virus) and Brevipalpus lewisi.Further details can be found in the document attached to this notification.</t>
  </si>
  <si>
    <t>Propagation material</t>
  </si>
  <si>
    <r>
      <rPr>
        <sz val="11"/>
        <rFont val="Calibri"/>
      </rPr>
      <t>https://members.wto.org/crnattachments/2026/SPS/CHL/26_00327_00_s.pdf
https://members.wto.org/crnattachments/2026/SPS/CHL/26_00327_01_s.pdf</t>
    </r>
  </si>
  <si>
    <t>KS EN 1991-1-3: 2003+A1: 2015/DNA:2025 Draft Kenya National Annex to Eurocode 1— Actions on structures ― Part 1-3: General actions – Snow loads</t>
  </si>
  <si>
    <t>This Draft National Annex gives the Kenyan decision for the Nationally Determined Parameters described in the following subclauses of KS EN 1991-1-3:2003+A1:2015:_x000D_
– 1.1 (2)_x000D_
– 1.1 (3)_x000D_
– 1.1 (4)_x000D_
– 2 (3)_x000D_
– 2 (4)_x000D_
– 3.3 (1)_x000D_
– 3.3 (3)_x000D_
– 4.1 (1)_x000D_
– 4.1 (2)_x000D_
– 4.2 (1)_x000D_
– 4.3 (1)_x000D_
– 5.2 (2)_x000D_
– 5.2 (5)_x000D_
– 5.2 (6)_x000D_
– 5.2 (7)_x000D_
– 5.2 (8)_x000D_
– 5.3.2 (3)_x000D_
– 5.3.3 (4)_x000D_
– 5.3.4 (3)_x000D_
– 5.3.5 (1)_x000D_
– 5.3.5 (3)_x000D_
– 5.3.6 (1)_x000D_
– 5.3.6 (3)_x000D_
– 6.2 (2)_x000D_
– 6.3 (1)_x000D_
– 6.3 (2)_x000D_
– Annex A (1)</t>
  </si>
  <si>
    <r>
      <rPr>
        <sz val="11"/>
        <rFont val="Calibri"/>
      </rPr>
      <t>https://members.wto.org/crnattachments/2026/TBT/KEN/26_00342_00_e.pdf</t>
    </r>
  </si>
  <si>
    <t>NA+A1:2015 to BS EN 1991-1-3:2003+A1:2015</t>
  </si>
  <si>
    <t>Petition To Delist Hazardous Air Pollutant: 2-Butoxyethyl 
Benzoate (2-BEB)</t>
  </si>
  <si>
    <t>Proposed rule - The U.S. Environmental Protection Agency (EPA or Agency) is proposing to grant a petition to remove 2-Butoxyethyl benzoate (2-BEB) (Chemical Abstract Service (CAS) No. 5451-76-3) from the glycol ethers category in the list of hazardous air pollutants (HAP) in Clean Air Act (CAA). The EPA proposes to find that there are adequate data on the health or environmental effects of 2-BEB to support the request for removal. This action also details a streamlined approach to the review process of future petitions.</t>
  </si>
  <si>
    <t>2-Butoxyethyl Benzoate; Environmental protection (ICS code(s): 13.020); Production in the chemical industry (ICS code(s): 71.020); Products of the chemical industry (ICS code(s): 71.100)</t>
  </si>
  <si>
    <r>
      <rPr>
        <sz val="11"/>
        <rFont val="Calibri"/>
      </rPr>
      <t>https://members.wto.org/crnattachments/2026/TBT/USA/26_00333_00_e.pdf</t>
    </r>
  </si>
  <si>
    <t>91 Federal Register (FR) 59767, 22 December 2026; Title 40 Code of Federal Regulations (CFR) Part 63_x000D_
https://www.govinfo.gov/content/pkg/FR-2025-12-22/html/2025-23566.htm_x000D_
https://www.govinfo.gov/content/pkg/FR-2025-12-22/pdf/2025-23566.pdfThis proposed rule is identified by Docket Number EPA-HQ-OAR-2024-0392. The Docket Folder is available on Regulations.gov at https://www.regulations.gov/docket/EPA-HQ-OAR-2024-0392/document and provides access to primary and supporting documents as well as comments received. Documents are also accessible from Regulations.gov by searching the Docket Number.</t>
  </si>
  <si>
    <t>Animal health; Animal diseases; Food safety; Human health</t>
  </si>
  <si>
    <r>
      <rPr>
        <sz val="11"/>
        <rFont val="Calibri"/>
      </rPr>
      <t>https://members.wto.org/crnattachments/2026/SPS/IND/26_00318_00_e.pdf</t>
    </r>
  </si>
  <si>
    <t>Hazardous Materials: Eliminating Unnecessary Regulatory Burdens 
on Fuel Transportation</t>
  </si>
  <si>
    <t>The Pipeline and Hazardous Materials Safety Administration (PHMSA) is adopting several amendments to the Hazardous Materials Regulations to reduce unnecessary regulatory burdens associated with the safe transportation of hazardous materials, including energy products. These amendments will reduce costs for hazardous materials transporters and eliminate unnecessary regulatory burdens on fuel transportation while maintaining or increasing the level of safety provided in the Hazardous Materials Regulations.Effective Date: This rule is effective 13 February 2026.    _x000D_
Voluntary Compliance Date: 14 January 2026.    Incorporation by Reference Date: The incorporation by reference of certain publications listed in this rule is approved by the Director of the Federal Register on 13 February 2026.91 Federal Register (FR) 1433, 14 January 2026; Title 49 Code of Federal Regulations (CFR) Parts 107171172173178, and 180_x000D_
https://www.govinfo.gov/content/pkg/FR-2026-01-14/html/2026-00578.htm_x000D_
https://www.govinfo.gov/content/pkg/FR-2026-01-14/pdf/2026-00578.pdfThis final rule and previous actions notified under the symbol G/TBT/N/USA/2155 are identified by Docket Number PHMSA-2018-0080. The Docket Folder is available on Regulations.gov at https://www.regulations.gov/docket/PHMSA-2018-0080/document and provides access to primary and supporting documents as well as comments received. Documents are also accessible from Regulations.gov by searching the Docket Number. </t>
  </si>
  <si>
    <t>Hazardous materials transport; Transport in general (ICS code(s): 03.220.01); Accident and disaster control (ICS code(s): 13.200); Protection against dangerous goods (ICS code(s): 13.300); Products of the chemical industry (ICS code(s): 71.100)</t>
  </si>
  <si>
    <t>03.220.01 - Transport in general; 13.200 - Accident and disaster control; 13.300 - Protection against dangerous goods; 71.100 - Products of the chemical industry; 03.220.01 - Transport in general; 13.200 - Accident and disaster control; 13.300 - Protection against dangerous goods; 71.100 - Products of the chemical industry</t>
  </si>
  <si>
    <r>
      <rPr>
        <sz val="11"/>
        <rFont val="Calibri"/>
      </rPr>
      <t>https://members.wto.org/crnattachments/2026/TBT/USA/final_measure/26_00335_00_e.pdf</t>
    </r>
  </si>
  <si>
    <t>Establece requisitos fitosanitarios de importación para el ingreso de semillas de maíz (Zea mays L.) procedentes de todo origen y modifica Resolución Exenta No 1.187 de 2022 (Phytosanitary requirements for the importation into Chile of maize (Zea mays L.) seeds, of any origin, and amendment of Exempt Resolution No. 1.187 of 2022)</t>
  </si>
  <si>
    <t>The notified Resolution establishes new phytosanitary requirements for maize (Zea mays L.) seeds of any origin. Considering that this Resolution has been notified for two previous periods, the main change introduced in the current draft is the removal of additional declarations for seeds intended for Research and Development (R&amp;D) purposes.Further details can be found in the document attached to this notification.</t>
  </si>
  <si>
    <t>Maize (Zea mays L.) seeds</t>
  </si>
  <si>
    <t>1 December 2026</t>
  </si>
  <si>
    <r>
      <rPr>
        <sz val="11"/>
        <rFont val="Calibri"/>
      </rPr>
      <t>https://members.wto.org/crnattachments/2026/SPS/CHL/26_00332_00_s.pdf
https://members.wto.org/crnattachments/2026/SPS/CHL/26_00332_01_s.pdf</t>
    </r>
  </si>
  <si>
    <t>Amendments to the Enforcement Ordinance of the Standards of Feed and Feed Additives (Amendment of maximum residue limits (MRLs) for Paraquat)</t>
  </si>
  <si>
    <t>The proposed maximum residue limits (MRLs) for Paraquat notified in G/SPS/N/JPN/1348 (dated 1 July 2025) were adopted.These amendments have been published in "KAMPO" (6 January 2026) (Official Government Gazette available in Japanese only).The date of entry into force: 6 January 2026 (wheat), 6 July 2026 (milo)Commodity (for feed)    Proposed MRL (mg/kg)   Current MRL (mg/kg)Wheat                                1.1                                           0.05Milo                                     0.05                                       0.5Note:- Residue definition for enforcement: Paraquat (paraquat ion).</t>
  </si>
  <si>
    <t>Wheat (HS code: 10.01) and milo (HS code: 10.07) for feed</t>
  </si>
  <si>
    <t>1007 - Grain sorghum; 1001 - Wheat and meslin; 1001 - Wheat and meslin; 1007 - Grain sorghum</t>
  </si>
  <si>
    <t>Food safety; Adoption/publication/entry into force of reg.; Human health; Maximum residue limits (MRLs); Human health; Food safety; Maximum residue limits (MRLs)</t>
  </si>
  <si>
    <t>Amendments to the Enforcement Ordinance of the Standards of Feed and Feed Additives (Amendment of maximum residue limits (MRLs) for Deltamethrin and Tralomethrin)</t>
  </si>
  <si>
    <t>The proposed maximum residue limits (MRLs) for Deltamethrin and Tralomethrin notified in G/SPS/N/JPN/1350 (dated 1 July 2025) were adopted.These amendments have been published in "KAMPO" (6 January 2026) (Official Government Gazette available in Japanese only).The date of entry into force: 6 January 2026 (oats, barley, wheat, maize, milo and rye), 6 January 2027 (hay).Commodity (for feed)       Proposed MRL (mg/kg)   Current MRL (mg/kg)Oats                                       2                                            1Barley                                    2                                            1Wheat                                   2                                            1Maize                                    2                                            1Milo                                       2                                            1Rye                                        2                                            1Hay                                        1                                            5Note:- Residue definition for enforcement: Sum of deltamethrin (including deltamethrin converted from tralomethrin), and metabolites CR[(R)-α-cyano-3-phenoxybenzyl=(1R,3R)-3-(dibromovinyl)-2,2-dimethylcyclopropanecarboxylate] and CT[(S)-α-cyano-3-phenoxybenzyl=(1S,3S)-3-(dibromovinyl)-2,2-dimethylcyclopropanecarboxylate] converted to deltamethrin.- Hay includes hay and fodder (dry), straw, forage (green) and silage. The MRL is set as 90% dry matter base.</t>
  </si>
  <si>
    <t>Oats (HS code: 10.04), barley (HS code: 10.03), wheat (HS code: 10.01), maize (HS code: 10.05), milo (HS code: 10.07), rye (HS code: 10.02),  hay (HS code: 12.13, 12.14) for feed</t>
  </si>
  <si>
    <t>1005 - Maize or corn; 1004 - Oats; 1003 - Barley; 1002 - Rye; 1001 - Wheat and meslin; 1007 - Grain sorghum; 1213 - Cereal straw and husks, unprepared, whether or not chopped, ground, pressed or in the form of pellets.; 1214 - Swedes, mangolds, fodder roots, hay, alfalfa, clover, sainfoin, forage kale, lupines, vetches and similar forage products, whether or not in the form of pellets; 1001 - Wheat and meslin; 1002 - Rye; 1003 - Barley; 1004 - Oats; 1005 - Maize or corn; 1007 - Grain sorghum; 1213 - Cereal straw and husks, unprepared, whether or not chopped, ground, pressed or in the form of pellets.; 1214 - Swedes, mangolds, fodder roots, hay, alfalfa, clover, sainfoin, forage kale, lupines, vetches and similar forage products, whether or not in the form of pellets</t>
  </si>
  <si>
    <t>Amendments to the Enforcement Ordinance of the Standards of Feed and Feed Additives (Amendment of maximum residue limits (MRLs) for Chlorobenzilate)</t>
  </si>
  <si>
    <t>The proposed maximum residue limits (MRLs) for Chlorobenzilate notified in G/SPS/N/JPN/1352 (dated 1 July 2025) were adopted.These amendments have been published in "KAMPO" (6 January 2026) (Official Government Gazette available in Japanese only).The date of entry into force: 6 January 2026Commodity (for feed)    Proposed MRL (mg/kg)    Current MRL (mg/kg)Maize                                  - (withdraw)                         0.02</t>
  </si>
  <si>
    <t>Maize (HS code: 10.05) for feed</t>
  </si>
  <si>
    <t>1005 - Maize or corn; 1005 - Maize or corn</t>
  </si>
  <si>
    <t>KS EN 1997-1: 2004/DNA:2025 Draft Kenya National Annex to Eurocode 7 — Geotechnical design ― Part 1: General rules</t>
  </si>
  <si>
    <t>This Draft National Annex gives the Kenya decisions for the Nationally Determined Parameters (see NA.2) described in the following subclauses in the body of KS EN 1997-1:2004+A1:2013:2.1 (8) P 2.4.6.1 (4) P 2.4.6.2 (2) P 2.4.7.1 (2) P 2.4.7.1 (3) 2.4.7.2 (2) P 2.4.7.3.2 (3) P 2.4.7.3.3 (2) P 2.4.7.3.4.1 (1) P 2.4.7.4 (3) P 2.4.7.5 (2) P 2.4.8 (2)2.4.9 (1) P 2.5 (1)7.6.2.2 (8) P 7.6.2.2 (14) P 7.6.2.3 (4) P 7.6.2.3 (5) P 7.6.2.4 (4) P 7.6.3.2 (2) P 7.6.3.2 (5) P 7.6.3.3 (3) P 7.6.3.3 (4) P 7.6.3.3 (6) 8.5.2 (2)  8.5.2 (3)11.5.1 (1) P</t>
  </si>
  <si>
    <t>Technical aspects (ICS code(s): 91.010.30); Earthworks. Excavations. Foundation construction. Underground works (ICS code(s): 93.020)</t>
  </si>
  <si>
    <t>91.010.30 - Technical aspects; 93.020 - Earthworks. Excavations. Foundation construction. Underground works</t>
  </si>
  <si>
    <r>
      <rPr>
        <sz val="11"/>
        <rFont val="Calibri"/>
      </rPr>
      <t>https://members.wto.org/crnattachments/2026/TBT/KEN/26_00340_00_e.pdf</t>
    </r>
  </si>
  <si>
    <t>NA to BS EN 1997-1:2004+A1:2013, UK National Annex to Eurocode 7: Geotechnical design – Part 1: General rules</t>
  </si>
  <si>
    <r>
      <rPr>
        <sz val="11"/>
        <rFont val="Calibri"/>
      </rPr>
      <t>https://members.wto.org/crnattachments/2026/SPS/IND/26_00319_00_e.pdf</t>
    </r>
  </si>
  <si>
    <t>Ministerial Regulation Prescribing Industrial Products for Cooking Paper to Conform to the Standard B.E. 2568 (2025)</t>
  </si>
  <si>
    <t>This addendum is to inform that the Ministerial Regulation mandates cooking paper to conform to the Thai Industrial Standard TIS 3438-2565(2022) Cooking Paper and will enter into force on 22 June 2026.</t>
  </si>
  <si>
    <t>Cooking Paper(ICS 85.080.90)</t>
  </si>
  <si>
    <t>85.080.99 - Other paper products; 85.080.99 - Other paper products</t>
  </si>
  <si>
    <r>
      <rPr>
        <sz val="11"/>
        <rFont val="Calibri"/>
      </rPr>
      <t>https://members.wto.org/crnattachments/2026/TBT/THA/final_measure/26_00338_00_x.pdf
https://ratchakitcha.soc.go.th/documents/100203.pdf</t>
    </r>
  </si>
  <si>
    <t>Amendments to the Enforcement Ordinance of the Standards of Feed and Feed Additives (Amendment of maximum residue limits (MRLs) for Fenitrothion)</t>
  </si>
  <si>
    <t>The proposed maximum residue limits (MRLs) for Fenitrothion notified in G/SPS/N/JPN/1351 (dated 1 July 2025) were adopted.These amendments have been published in "KAMPO" (6 January 2026) (Official Government Gazette available in Japanese only).The date of entry into force: 6 January 2026 Commodity (for feed)    Proposed MRL (mg/kg)    Current MRL (mg/kg)Oats                                    6                                             1Barley                                 6                                             5Wheat                                15                                            10Milo                                      6                                             1Rye                                      6                                             1Note:- Residue definition for enforcement: Fenitrothion.</t>
  </si>
  <si>
    <t>Oats (HS code: 10.04), barley (HS code: 10.03), wheat (HS code:10.01), milo (HS Code: 10.07) and rye (HS Code: 10.02) for feed</t>
  </si>
  <si>
    <t>1007 - Grain sorghum; 1004 - Oats; 1003 - Barley; 1002 - Rye; 1001 - Wheat and meslin; 1001 - Wheat and meslin; 1002 - Rye; 1003 - Barley; 1004 - Oats; 1007 - Grain sorghum</t>
  </si>
  <si>
    <t>Resolución para regular la importación de varetas de Cítricos (Citrus spp.) para propagación originarios de El Salvador (Resolution governing the importation of citrus (Citrus spp.) plant cuttings for propagation originating in El Salvador)Costa Rica hereby advises of the entry into force of the phytosanitary measures notified in document G/SPS/N/CRI/336, adopted pursuant to Resolution No. 002-2026-CV-ARP-SFE of the State Phytosanitary Service, Plant Quarantine Department, Pest Risk Analysis Unit, establishing phytosanitary requirements for the importation of citrus (Citrus spp.) cuttings for propagation originating in El Salvador.https://members.wto.org/crnattachments/2026/SPS/CRI/26_00290_00_s.pdf</t>
  </si>
  <si>
    <t>Citrus (Citrus spp.) plant cuttings for propagation (HS code(s): 0602)</t>
  </si>
  <si>
    <t>Plant health; Adoption/publication/entry into force of reg.; Territory protection; Territory protection; Plant health</t>
  </si>
  <si>
    <r>
      <rPr>
        <sz val="11"/>
        <rFont val="Calibri"/>
      </rPr>
      <t>https://members.wto.org/crnattachments/2026/SPS/CRI/26_00290_00_s.pdf</t>
    </r>
  </si>
  <si>
    <t>Resolución para regular la importación de varetas de Cítricos (Citrus spp.) para propagación originarios de Guatemala (Resolution governing the importation of citrus (Citrus spp.) plant cuttings for propagation, originating in Guatemala)Costa Rica hereby advises of the entry into force of the phytosanitary measures notified in document G/SPS/N/CRI/338, adopted pursuant to Resolution No. 004-2026-CV-ARP-SFE of the State Phytosanitary Service, Plant Quarantine Department, Pest Risk Analysis Unit, establishing phytosanitary requirements for the importation of citrus (Citrus spp.) cuttings for propagation originating in Guatemala.https://members.wto.org/crnattachments/2026/SPS/CRI/26_00292_00_s.pdf</t>
  </si>
  <si>
    <t>Territory protection; Plant health; Adoption/publication/entry into force of reg.; Plant health; Territory protection</t>
  </si>
  <si>
    <r>
      <rPr>
        <sz val="11"/>
        <rFont val="Calibri"/>
      </rPr>
      <t>https://members.wto.org/crnattachments/2026/SPS/CRI/26_00292_00_s.pdf</t>
    </r>
  </si>
  <si>
    <t>Proyecto de Resolución para regular la importación de granos de Gandul (Cajanus cajan) para consumo originarios de India (Draft Resolution governing the importation of pigeon pea (Cajanus cajan) grain for consumption originating in India)</t>
  </si>
  <si>
    <t>The notified draft Resolution establishes phytosanitary measures for the importation of pigeon pea (Cajanus cajan) grain for consumption originating in India.</t>
  </si>
  <si>
    <t>071360 - Dried, shelled pigeon peas "Cajanus cajan", whether or not skinned or split</t>
  </si>
  <si>
    <r>
      <rPr>
        <sz val="11"/>
        <rFont val="Calibri"/>
      </rPr>
      <t>https://members.wto.org/crnattachments/2026/SPS/CRI/26_00289_00_s.pdf</t>
    </r>
  </si>
  <si>
    <t>ConsultationonSRSP-321.2, Issue 1 (19 pages, available in English and French)</t>
  </si>
  <si>
    <t>Notice is hereby given by the Ministry of Innovation, Science and Economic Development Canada has amended the following standard:SRSP-321.2, Issue 1, Technical Requirements for the Fixed Line-of-Sight Radio Systems Operating in the Band 21.2–23.6 GHz.</t>
  </si>
  <si>
    <t>Not Applicable</t>
  </si>
  <si>
    <r>
      <rPr>
        <sz val="11"/>
        <rFont val="Calibri"/>
      </rPr>
      <t>https://www.rabc-cccr.ca/srsp-321-2-issue-1-draft-technical-requirements-for-fixed-line-of-sight-radio-systems-operating-in-the-band-21-2-23-6-ghz/
https://www.rabc-cccr.ca/fr/pnrh-321-2-edition-1-ebauche-prescriptions-techniques-relatives-aux-reseaux-hertziens-du-service-fixe-en-visibilite-directe-fonctionnant-dans-la-bande-de-212-a-236-ghz/</t>
    </r>
  </si>
  <si>
    <t>Not Applicable </t>
  </si>
  <si>
    <t>Proyecto de Resolución Directoral para el establecimiento de requisitos fitosanitarios para la importación de plantas in vitro de orquídeas (Dendrobium spp.) de Brasil (Draft Directorial Resolution establishing phytosanitary requirements governing the importation of in vitro orchid (Dendrobium spp.) plants from Brazil)</t>
  </si>
  <si>
    <t>The draft Directorial Resolution establishing the phytosanitary requirements governing the importation into Peru of in vitro orchid (Dendrobium spp.) plants originating in and coming from Brazil is being submitted for public consultation following the completion of the corresponding pest risk analysis.</t>
  </si>
  <si>
    <t>In vitro orchid (Dendrobium spp.) plants (HS code: 060290)</t>
  </si>
  <si>
    <r>
      <rPr>
        <sz val="11"/>
        <rFont val="Calibri"/>
      </rPr>
      <t>https://members.wto.org/crnattachments/2026/SPS/PER/26_00316_00_s.pdf
El texto lo puede descargar de la página web del SENASA
 cuya ruta es la siguiente: https://www.gob.pe/institucion/senasa/campa%C3%B1as/4831-consulta-publica-de-importaciones-agricolas</t>
    </r>
  </si>
  <si>
    <t>Commission Implementing Regulation (EU) 2025/2590 of 18 December 2025 concerning the authorisation of L-valine produced with Corynebacterium glutamicum KCCM 80365 as a feed additive for all animal species (Text with EEA relevance)</t>
  </si>
  <si>
    <t>This Regulation authorises for the first time in the European Union and for a period of ten years L-valine produced with Corynebacterium glutamicum KCCM 80365 as a feed additive belonging to the category ‘nutritional additives’ and in the functional group ‘amino acids, their salts and analogues’ for all animal species This authorisation is based on the favourable conclusions of a scientific assessment of the dossier submitted by the applicant, conducted by the European Food Safety Authority (EFSA). The terms of the authorisation are detailed in the Annex to the Act.</t>
  </si>
  <si>
    <r>
      <rPr>
        <sz val="11"/>
        <rFont val="Calibri"/>
      </rPr>
      <t>https://members.wto.org/crnattachments/2026/SPS/EEC/26_00320_00_e.pdf
https://members.wto.org/crnattachments/2026/SPS/EEC/26_00320_00_f.pdf
https://members.wto.org/crnattachments/2026/SPS/EEC/26_00320_00_s.pdf</t>
    </r>
  </si>
  <si>
    <t>New GB MRLs for flupyradifurone and the metabolite DFA amending the GB MRL Statutory Register</t>
  </si>
  <si>
    <t>Flupyradifurone is an approved active substance in Great Britain. An application was received by the Health and Safety Executive (HSE) requesting new Maximum Residue Levels (MRLs) for various commodities. Flupyradifurone gives rise to the metabolite DFA, for which separate MRLs are set in Great Britain. Following assessment, new MRLs have been introduced to set import tolerances on various commodities for flupyradifurone and the metabolite DFA as detailed in Section 3 of this notification.  The Evaluation Report/Reasoned Opinion supporting the new MRLs is available at the following link: The evaluation of new MRLs for flupyradifurone and the metabolite DFA in or on various commoditiesThe residue levels arising in food and feed from the notified uses result in consumer exposures below the toxicological reference values and therefore harmful effects on human health are not expected.  As the residue levels exceed the current MRLs in force, new MRLs are being adopted.  </t>
  </si>
  <si>
    <t>Flupyradifurone: Grapefruits (0110010), Oranges (0110020), Lemons (0110030), Limes (0110040), Mandarins (0110050), Others – citrus fruit (0110990), Apples (0130010), Pears (0130020), Quinces (0130030), Medlars (0130040), Loquats/Japanese medlars (0130050), Others – pome fruit (0130990), Table grapes (0151010), Wine grapes (0151020), Aubergines/eggplants (0231030), Barley (0500010), Oat (0500050), Rye (0500070), Sorghum (0500080), Wheat (0500090), Swine liver (1011030), Swine kidney (1011040), Swine edible offals (other than liver and kidney) (1011050), Bovine muscle (1012010), Bovine fat (1012020), Bovine liver (1012030), Bovine kidney (1012040), Bovine edible offals (other than liver and kidney) (1012050), Sheep muscle (1013010), Sheep fat (1013020), Sheep liver (1013030), Sheep kidney (1013040), Sheep edible offals (other than liver and kidney) (1013050), Goat muscle (1014010), Goat fat (1014020), Goat liver (1014030), Goat kidney (1014040), Goat edible offals (other than liver and kidney) (1014050), Equine muscle (1015010), Equine fat (1015020), Equine liver (1015030), Equine kidney (1015040), Equine edible offals (other than liver and kidney) (1015050), Other farmed terrestrial animals muscle (1017010), Other farmed terrestrial animals fat (1017020), Other farmed terrestrial animals liver (1017030), Other farmed terrestrial animals kidney (1017040), Other farmed terrestrial animals edible offals (other than liver and kidney) (1017050), Cattle milk (1020010), Sheep milk (1020020), Goat milk (1020030), Horse milk (1020040), Others milk and cream (1020990) Difluoroacetic Acid, expressed as DFA: Grapefruits (0110010), Oranges (0110020), Lemons (0110030), Limes (0110040), Mandarins (0110050), Others – citrus fruit (0110990), Apples (0130010), Pears (0130020), Quinces (0130030), Medlars (0130040), Loquats/Japanese medlars (0130050), Others – pome fruit (0130990), Tomatoes (0231010), Sweet peppers/bell peppers (0231020),  Aubergines/eggplants (0231030), Cucumbers (0232010), Gherkins (0232020), Courgettes (0232030), Others – cucurbits with edible peel (0232990), Barley (0500010), Oat (0500050), Rye (0500070), Sorghum (0500080), Wheat (0500090), Swine muscle (1011010), Swine fat (1011020), Swine liver (1011030), Swine kidney (1011040), Swine edible offals (other than liver and kidney) (1011050), Bovine liver (1012030), Goat liver (1014030), Equine liver (1015030), Poultry muscle (1016010), Poultry fat (1016020), Poultry liver (1016030), Poultry edible offals (other than liver and kidney) (1016050), ther farmed terrestrial animals liver (1017030), Cattle milk (1020010), Goat milk (1020030), Horse milk (1020040), Others milk and cream (1020990), Chicken eggs (1030010), Duck eggs (1030020), Geese eggs (1030030), Quail eggs (1030040), Others – birds’ eggs (1030990) * For reference, the full list of GB commodity codes is set out in Part 1 of the GB pesticides Maximum Residue Level Statutory Register – see link</t>
  </si>
  <si>
    <r>
      <rPr>
        <sz val="11"/>
        <rFont val="Calibri"/>
      </rPr>
      <t>https://members.wto.org/crnattachments/2026/SPS/GBR/26_00293_00_e.pdf</t>
    </r>
  </si>
  <si>
    <t>Following review of the available evidence, HSE concluded that a number of the CXLs for flupyradifurone do not satisfy the UK’s appropriate level of protection.   
Details of the HSE’s assessment for flupyradifurone can be found in the Reasoned Opinion.</t>
  </si>
  <si>
    <t>Draft Order of the Ministry of Health of Ukraine “On Approval of Amendments to Certain Regulatory Acts of the Ministry of Health of Ukraine”</t>
  </si>
  <si>
    <t>The draft Order has been revised taking into account the results of consultations with stakeholders and now incorporates editorial amendments and clarifications, including those related to terminology. _x000D_
The revision clarifies the approach to the lists of substances used in dietary supplements and their safety characteristics. In order to eliminate ambiguous interpretations and ensure a unified approach, column 6 "Substances that are assessed in accordance with the requirements of permanent procedures based on the principles of the Hazard Analysis system" has been removed from List I "Plants, algae and fungi permitted for use in dietary supplements" of Annex 3 to the Hygiene Requirements for Dietary Supplements._x000D_
The above-mentioned List I has also been updated by clarifying the names of plants, plant parts and the relevant warnings and restrictions, based on authoritative scientific sources and European Union practice._x000D_
In List IV "Substances with a nutritional or physiological effect" of the same Annex, the substance "proanthocyanidins" has been clarified as "oligo-proanthocyanidins," which is in line with the available scientific conclusions of EFSA and other reliable sources; no separate daily intake limit has been set for this substance._x000D_
The terminology related to dosage and safety parameters has been aligned with Ukrainian legislation through the use of the terms "acceptable daily intake" and "maximum permissible levels". The term "daily intake" is used as a descriptive indicator of recommended consumption within the established maximum permissible values._x000D_
The final version also provides for the following: diosmin – without setting a separate maximum permissible daily level; hesperidin – 70 mg; flavonoids – 1 g, with the exception of flavonoids derived from Glycyrrhiza glabra, which are classified as novel food products. These amendments are intended to minimize the risk of products being perceived as medicines._x000D_
In addition, the above–mentioned List IV has been supplemented with maltodextrin and casein hydrolysate, while List I has been supplemented with the fungus Tremella fuciformis Berk., which is permitted for use in dietary supplements._x000D_
The draft Order is also notified under the TBT Agreement.</t>
  </si>
  <si>
    <t>Food and dietary supplements</t>
  </si>
  <si>
    <t>This Order will enter into force on the date of its official publication.</t>
  </si>
  <si>
    <r>
      <rPr>
        <sz val="11"/>
        <rFont val="Calibri"/>
      </rPr>
      <t>https://members.wto.org/crnattachments/2026/SPS/UKR/26_00284_00_x.pdf
https://members.wto.org/crnattachments/2026/SPS/UKR/26_00284_01_x.pdf
https://moz.gov.ua/uk/povidomlennya-pro-oprilyudnennya-doopracovanogo-proyektu-nakazu-ministerstva-ohoroni-zdorov-ya-ukrayini-pro-zatverdzhennya-zmin-do-deyakih-normativno-pravovih-aktiv-ministerstva-ohoroni-zdorov-ya-ukrayini-2</t>
    </r>
  </si>
  <si>
    <t>Resolución para regular la importación de semillas de Pepino dulce (Solanum muricatum) para siembra originarios de Ecuador (Resolution governing the importation of pepino dulce (Solanum muricatum) seeds for sowing, originating in Ecuador)Costa Rica hereby advises that the phytosanitary measures notified in document G/SPS/N/CRI/337 have entered into force pursuant to Resolution No. 003-2026-CV-ARP-SFE of the State Phytosanitary Service, Plant Quarantine Department, Pest Risk Analysis Unit, establishing phytosanitary requirements for the importation of pepino dulce (Solanum muricatum) seeds for sowing, originating in Ecuador.https://members.wto.org/crnattachments/2026/SPS/CRI/26_00291_00_s.pdf</t>
  </si>
  <si>
    <t>Pepino dulce (Solanum muricatum) seeds, for sowing (HS code: 120991)</t>
  </si>
  <si>
    <t>120991 - Vegetable seeds, for sowing; 120991 - Vegetable seeds, for sowing</t>
  </si>
  <si>
    <r>
      <rPr>
        <sz val="11"/>
        <rFont val="Calibri"/>
      </rPr>
      <t>https://members.wto.org/crnattachments/2026/SPS/CRI/26_00291_00_s.pdf</t>
    </r>
  </si>
  <si>
    <t>The draft Order has been revised taking into account the results of consultations with stakeholders and now incorporates editorial amendments and clarifications, including those related to terminology. _x000D_
The revision clarifies the approach to the lists of substances used in dietary supplements and their safety characteristics. In order to eliminate ambiguous interpretations and ensure a unified approach, column 6 "Substances that are assessed in accordance with the requirements of permanent procedures based on the principles of the Hazard Analysis system" has been removed from List I "Plants, algae and fungi permitted for use in dietary supplements" of Annex 3 to the Hygiene Requirements for Dietary Supplements._x000D_
The above-mentioned List I has also been updated by clarifying the names of plants, plant parts and the relevant warnings and restrictions, based on authoritative scientific sources and European Union practice._x000D_
In List IV "Substances with a nutritional or physiological effect" of the same Annex, the substance "proanthocyanidins" has been clarified as "oligo-proanthocyanidins," which is in line with the available scientific conclusions of EFSA and other reliable sources; no separate daily intake limit has been set for this substance._x000D_
The terminology related to dosage and safety parameters has been aligned with Ukrainian legislation through the use of the terms "acceptable daily intake" and "maximum permissible levels". The term "daily intake" is used as a descriptive indicator of recommended consumption within the established maximum permissible values._x000D_
The final version also provides for the following: diosmin – without setting a separate maximum permissible daily level; hesperidin – 70 mg; flavonoids – 1 g, with the exception of flavonoids derived from Glycyrrhiza glabra, which are classified as novel food products. These amendments are intended to minimize the risk of products being perceived as medicines._x000D_
In addition, the above–mentioned List IV has been supplemented with maltodextrin and casein hydrolysate, while List I has been supplemented with the fungus Tremella fuciformis Berk., which is permitted for use in dietary supplements._x000D_
The draft Order is also notified under the SPS Agreement.</t>
  </si>
  <si>
    <t>Consumer information, labelling (TBT); Quality requirements (TBT)</t>
  </si>
  <si>
    <r>
      <rPr>
        <sz val="11"/>
        <rFont val="Calibri"/>
      </rPr>
      <t>https://members.wto.org/crnattachments/2026/TBT/UKR/26_00283_00_x.pdf
https://members.wto.org/crnattachments/2026/TBT/UKR/26_00283_01_x.pdf
https://moz.gov.ua/uk/povidomlennya-pro-oprilyudnennya-doopracovanogo-proyektu-nakazu-ministerstva-ohoroni-zdorov-ya-ukrayini-pro-zatverdzhennya-zmin-do-deyakih-normativno-pravovih-aktiv-ministerstva-ohoroni-zdorov-ya-ukrayini-2</t>
    </r>
  </si>
  <si>
    <t>- Law of Ukraine “On Amendments to Certain Laws of Ukraine on Improving the Regulation of Production and Circulation of Food Supplements, and the Regulation of Other Issues in the Healthcare Sphere”, available in Ukrainian at https://zakon.rada.gov.ua/laws/show/4122-20#Text;- Order of the Ministry of Health of Ukraine No. 1114 "On Approval of Hygienic Requirements for Dietary Supplements" of 19 December 2013, available in Ukrainian at https://zakon.rada.gov.ua/laws/show/z2231-13#Text;-Order of the Ministry of Health of Ukraine No. 1145 "On Approval of the Requirements for nutrition and health claims made on food products" of 15 May 2020 (notified in documents G/TBT/N/UKR/164, G/TBT/N/UKR/164/Add.1);-Order of the Ministry of Health of Ukraine No. 1613 "On Approval of the Rules on the addition of vitamins, minerals and certain other substances to foods" of 16 July 2020, available in Ukrainian at https://zakon.rada.gov.ua/laws/show/z0891-20#Text;-Order of the Ministry of Health of Ukraine No. 45 "On Approval of Requirements for Food Flavours, Requirements for Food Additives and Requirements for Food Enzymes" on 8 January 2024.</t>
  </si>
  <si>
    <t>Resolución para regular la importación de semillas de Mijo (Pennisetum glaucum) para siembra originarios de India (Draft Resolution governing the importation of millet (Pennisetum glaucum) seeds for sowing, originating in India)Costa Rica hereby advises that the phytosanitary measures notified in document G/SPS/N/CRI/339 have entered into force pursuant to Resolution No. 005-2026-CV-ARP-SFE of the State Phytosanitary Service, Plant Quarantine Department, Pest Risk Analysis Unit, establishing phytosanitary requirements for the importation of millet (Pennisetum glaucum) seeds for sowing, originating in India.https://members.wto.org/crnattachments/2026/SPS/CRI/26_00294_00_s.pdf</t>
  </si>
  <si>
    <t>Millet seeds, for sowing (HS code: 100821)</t>
  </si>
  <si>
    <t>100821 - Millet seed for sowing (excl. grain sorghum); 100821 - Millet seed for sowing (excl. grain sorghum)</t>
  </si>
  <si>
    <r>
      <rPr>
        <sz val="11"/>
        <rFont val="Calibri"/>
      </rPr>
      <t>https://members.wto.org/crnattachments/2026/SPS/CRI/26_00294_00_s.pdf</t>
    </r>
  </si>
  <si>
    <t>The Mandatory Water Efficiency Labelling (MWEL) Regulations 2026</t>
  </si>
  <si>
    <t>These Regulations have been developed in accordance with international standard ISO 31600:2022. The Regulations will place obligations on both dealers and suppliers. Suppliers will have to test their products to determine the correct water efficiency banding of covered products, produce the necessary labels to be affixed to the products, and provide the labels free of charge to dealers. They will also have obligations in relation to providing information inrelation to the water efficiency of relevant products for inclusion in a database. Dealers will have to ensure that the label is clearly visible at all times at point of sale.</t>
  </si>
  <si>
    <t>This measure covers only the following specific products: · taps; showers (including electric showers); toilets; urinals; dishwashers; washing machines and washer-dryers. This measure does not apply to the following specific products: · second hand products; taps designed for: outdoor use, for the supply of instant hot water, to form part of a bath, or, to form part of a bidet; showers designed for emergency use; use with recirculated water; commercial dishwashers; commercial washing machines; equipment, fittings or appliances not intended for connection to a potable water supply network; urinal controllers and equipment, fittings or appliances designed for medical purposes.</t>
  </si>
  <si>
    <t>91.140.70 - Sanitary installations; 97.040.40 - Dishwashers; 97.060 - Laundry appliances</t>
  </si>
  <si>
    <t>Protection of the environment (TBT); Cost saving and productivity enhancement (TBT)</t>
  </si>
  <si>
    <t>The proposed measure will enable consumers to reduce water usage to help safeguard natural resources. The measures aim to: Reduce water demand in the UK Inform consumers of the water consumption of products through an A-F, colour-coded system, enabling them to make water efficient choices and reduce water bills. Ensure consistency of manufacturer transparency with consumers and support the shift to the manufacturing of more water-efficient products.</t>
  </si>
  <si>
    <r>
      <rPr>
        <sz val="11"/>
        <rFont val="Calibri"/>
      </rPr>
      <t>https://members.wto.org/crnattachments/2026/TBT/GBR/26_00295_00_e.pdf</t>
    </r>
  </si>
  <si>
    <t>Draft Statutory Instrument ‘The Mandatory Water Efficiency Labelling Regulations 2026’Previous consultation (2022) Consultation on mandatory water efficiency labelling</t>
  </si>
  <si>
    <t>Establece requisitos técnicos y administrativos para determinar normativa aplicable al material vegetal de propagación desarrollado por nuevas técnicas de mejoramiento (NBT)</t>
  </si>
  <si>
    <t>The notified measure establishes a mandatory procedure under which SAG will evaluate, on a case-by-case basis, whether domestic or imported plant propagation material, developed using new breeding techniques (NBTs) or modern biotechnology, should be considered conventional or be subject to the regulations applicable to genetically modified organisms (GMOs). Further details can be found in the document attached to this notification.</t>
  </si>
  <si>
    <t>Material Vegetal de Propagación desarrollado con nuevas técnicas de mejoramiento (NBT).</t>
  </si>
  <si>
    <t>Biotechnology</t>
  </si>
  <si>
    <t>80 days from the date of publication of the notification</t>
  </si>
  <si>
    <t>A su publicación en el Diario Oficia</t>
  </si>
  <si>
    <r>
      <rPr>
        <sz val="11"/>
        <rFont val="Calibri"/>
      </rPr>
      <t>https://members.wto.org/crnattachments/2026/TBT/CHL/26_00317_00_s.pdf</t>
    </r>
  </si>
  <si>
    <t>• Ley N° 18.755, Orgánica del Servicio Agrícola y Ganadero• Ley N° 19.880 Establece Bases de los Procedimientos Administrativos que Rigen los Actos de los Órganos de la Administración del Estado.• Decreto Ley N° 3.557, de 1980, sobre Protección Agrícola.• Decreto N° 156, de 1998, del Ministerio de Agricultura.• Decreto 183 de 2025 que establece orden de subrogación del director nacional del Servicio Agrícola y Ganadero• Decreto 142 de 1990 que fija tarifas por las labores de inspección que realiza el Servicio Agrícola y Ganadero.• Resoluciones Nº 1.523, de 2001 que establece normas para la internación e introducción al medio ambiente de organismos vegetales vivos modificados de propagación; N° 2.433 de 2012 que delega atribuciones en autoridades del Servicio Agrícola y Ganadero y la Resolución N° 36 de 2024 de la Contraloría General de la República sobre toma de razón</t>
  </si>
  <si>
    <t>Modificación del Reglamento Sanitario de los Alimentos (D.S. 977/96) que introduce los requisitos para la internación y control de alimentos.</t>
  </si>
  <si>
    <t>The procedure for the importation of food products has been analyzed, and it has been identified that the current document does not clearly establish, for both importers and personnel of the Regional Ministerial Secretariats (SEREMI) of Health and other public services, matters such as the information required and the procedures to be followed in the process of controlling food products entering the country. In this regard, observations and requests to improve the Manual for the Importation of Food Intended for Human Consumption have been received from the SEREMI of Health, the National Customs Service, and the private sector, through the Executive Round Tables for Productivity led by the Chilean Economic Development Agency. However, an analysis of what is established in the Food Health Regulations and the requirements set forth in the cited Manual has led to the decision to establish the requirements within the Regulations themselves, following the principle of transparency established by the Codex Alimentarius and the recommendations of the FAO/WHO.G/TBT/N/CHL/776- 2 - This standard explicitly introduces the sanitary requirements for the importation of food into Supreme Decree No. 977/96.</t>
  </si>
  <si>
    <t>Fortalecer la transparencia</t>
  </si>
  <si>
    <r>
      <rPr>
        <sz val="11"/>
        <rFont val="Calibri"/>
      </rPr>
      <t>https://members.wto.org/crnattachments/2026/TBT/CHL/26_00280_00_s.pdf</t>
    </r>
  </si>
  <si>
    <t>- Reglamento Sanitario de los Alimentos Decreto Supremo N°977 Ministerio de Salud</t>
  </si>
  <si>
    <t>DEAS 935: 2025 Packaging — Code of practice — Glass containers</t>
  </si>
  <si>
    <r>
      <rPr>
        <sz val="11"/>
        <rFont val="Calibri"/>
      </rPr>
      <t>https://members.wto.org/crnattachments/2026/TBT/KEN/26_00276_00_e.pdf</t>
    </r>
  </si>
  <si>
    <t>Propuesta de modificación de la resolución exenta 394/02 del Ministerio de Salud, fija directrices nutricionales sobre suplementos alimentarios y sus contenidos en vitaminas y minerales</t>
  </si>
  <si>
    <t>At present, various types of sugar — both traditional and non-traditional — are used to sweeten foods. Additives that have the secondary effect of sweetening foods are also used. These additives are not expressly included in the list of fortification exclusions established by Exempt Resolution No. 393/02 of the Ministry of Health. This creates the risk that these substances could be used as vehicles for substances or elements that have a physiological effect on the body, such as vitamins, minerals, prebiotics, probiotics, beta-glucans, EPA, and DHA. This represents an interpretation problem under the regulation, with implications for control and compliance.</t>
  </si>
  <si>
    <r>
      <rPr>
        <sz val="11"/>
        <rFont val="Calibri"/>
      </rPr>
      <t>https://members.wto.org/crnattachments/2026/TBT/CHL/26_00277_00_s.pdf</t>
    </r>
  </si>
  <si>
    <t>• Reglamento Sanitario de Alimentos Decreto Supremo N°977 Ministerio de Salud• Resolución que complementa el Reglamento Sanitario de los Alimentos</t>
  </si>
  <si>
    <t>Resolution of the Cabinet of Ministers of Ukraine No. 890 “On Approval of the Procedure for Labeling Alcoholic Beverages, Tobacco Products, and Liquids Used in Electronic Cigarettes, and on the Repeal of Certain Resolutions of the Cabinet of Ministers of Ukraine” of  16 July 2025</t>
  </si>
  <si>
    <t>Ukraine informs that the date of entry into force of the Resolution of the Cabinet of Ministers of Ukraine No. 890 of 16 July 2025 “On Approval of the Procedure for Labeling Alcoholic Beverages, Tobacco Products, and Liquids Used in Electronic Cigarettes, and on the Repeal of Certain Resolutions of the Cabinet of Ministers of Ukraine” has been amended from 01 January 2026 to 01 November 2026.This amendment was introduced by the Resolution of the Cabinet of Ministers of Ukraine No. 1756 of 26 December 2025 “On Amendments to Certain Resolutions of the Cabinet of Ministers of Ukraine Regarding the Introduction of Electronic Traceability of the Circulation of Alcoholic Beverages, Tobacco Products and Liquids Used in Electronic Cigarettes”.This Resolution also amends paragraph 11 of the Procedure to allowing the minimum acceptable level of DataMatrix print quality to be assessed in accordance with either ISO/IEC 15415 (grade 2) or ISO/IEC 29158 (grade B), and establishes that paragraphs 25–27 and 29–32 of the previous Regulation on the Production, Storage, and Sale of Excise Tax Stamps, and the Labelling of Alcoholic Beverages, Tobacco Products, and Liquids Used in Electronic Cigarettes, approved by Cabinet of Ministers of Ukraine Resolution No. 1251 of 27 December 2010, will remain in force until 01 May 2027 instead of 01 September 2026.</t>
  </si>
  <si>
    <t>Alcoholic beverages, tobacco products, liquids used in electronic cigarettes</t>
  </si>
  <si>
    <r>
      <rPr>
        <sz val="11"/>
        <rFont val="Calibri"/>
      </rPr>
      <t>https://zakon.rada.gov.ua/laws/show/890-2025-%D0%BF#Text</t>
    </r>
  </si>
  <si>
    <t>Amendments to regulations 361 to 386A and 387 and insertion of a new regulation, i.e. regulation 384A to the Food Regulations 1985 [P.U.(A) 437/1985</t>
  </si>
  <si>
    <t>Malaysia would like to inform WTO Members that the Amendments to regulations 361 to 386A and 387 and insertion of a new regulation, i.e. regulation 384A to the Food Regulations 1985 [P.U.(A) 437/1985], as notified in G/TBT/N/MYS/114, was adopted by the Attorney General’s Chambers through the Federal Government Gazette under the Food (Amendment) (No. 3) Regulations 2025. </t>
  </si>
  <si>
    <t>HS Code 2203: Beer made from maltHS Code 2204: Wine of fresh grapes, including fortified wines; grape must other than that of heading 20.09HS Code 2205: Vermouth and other wine of fresh grapes flavoured with plants or aromatic substancesHS Code 2206: Other fermented beverages (for example, cider, perry, mead, saké); mixtures of fermented beverages and mixtures of fermented beverages and non-alcoholic beverages, not elsewhere specified or includedHS Code 2207: Undenatured ethyl alcohol of an alcoholic strength by volume of     80 % vol. or higher; ethyl alcohol and other spirits, denatured, of any strengthHS Code 2208: Undenatured ethyl alcohol of an alcoholic strength by volume of less than 80 % vol.; spirits, liqueurs and other spirituous beverages</t>
  </si>
  <si>
    <t>2208 - Undenatured ethyl alcohol of an alcoholic strength of &lt; 80%; spirits, liqueurs and other spirituous beverages (excl. compound alcoholic preparations of a kind used for the manufacture of beverages); 2207 - Undenatured ethyl alcohol of an alcoholic strength of &gt;= 80%; ethyl alcohol and other spirits, denatured, of any strength; 2206 - Cider, perry, mead and other fermented beverages and mixtures of fermented beverages and non-alcoholic beverages, n.e.s. (excl. beer, wine or fresh grapes, grape must, vermouth and other wine of fresh grapes flavoured with plants or aromatic substances); 2205 - Vermouth and other wine of fresh grapes, flavoured with plants or aromatic substances; 2204 - Wine of fresh grapes, incl. fortified wines; grape must, partly fermented and of an actual alcoholic strength of &gt; 0,5% vol or grape must with added alcohol of an actual alcoholic strength of &gt; 0,5% vol; 2203 - Beer made from malt; 2203 - Beer made from malt; 2204 - Wine of fresh grapes, incl. fortified wines; grape must, partly fermented and of an actual alcoholic strength of &gt; 0,5% vol or grape must with added alcohol of an actual alcoholic strength of &gt; 0,5% vol; 2205 - Vermouth and other wine of fresh grapes, flavoured with plants or aromatic substances; 2206 - Cider, perry, mead and other fermented beverages and mixtures of fermented beverages and non-alcoholic beverages, n.e.s. (excl. beer, wine or fresh grapes, grape must, vermouth and other wine of fresh grapes flavoured with plants or aromatic substances); 2207 - Undenatured ethyl alcohol of an alcoholic strength of &gt;= 80%; ethyl alcohol and other spirits, denatured, of any strength; 2208 - Undenatured ethyl alcohol of an alcoholic strength of &lt; 80%; spirits, liqueurs and other spirituous beverages (excl. compound alcoholic preparations of a kind used for the manufacture of beverages)</t>
  </si>
  <si>
    <r>
      <rPr>
        <sz val="11"/>
        <rFont val="Calibri"/>
      </rPr>
      <t>https://members.wto.org/crnattachments/2026/TBT/MYS/final_measure/26_00228_00_e.pdf</t>
    </r>
  </si>
  <si>
    <t>Guyana</t>
  </si>
  <si>
    <t>Specification for Labelling of commodities Part 10: Labelling of equipment, items and parts containing refrigerants</t>
  </si>
  <si>
    <t>This standard specifies that labelling requirements for all types of equipment, items and parts containing refrigerants. It also includes containers or receptacles used for transporting and storing gases that are considered refrigerants. </t>
  </si>
  <si>
    <t>Refrigerants and antifreezes (ICS code(s): 71.100.45)</t>
  </si>
  <si>
    <t>71.100.45 - Refrigerants and antifreezes</t>
  </si>
  <si>
    <t>The Montreal Protocol has been updated and in keeping with Guyana’s commitments, the Hydrometrological office submitted a request to have the current version of the standard revised. The request was made for a label to be included as Appendix D. This label highlights that natural refrigerants are safe, energy-efficient and climate- friendly. The label is designed to inform the public of the type and properties of the refrigerant used in new refrigeration and air conditioning appliances. This addition is intended to inform on safe handling during movement, installation, servicing and disposal of cooling and freezing equipment. Particularly in light of the growing use in the commercial and domestic sector of appliances using alternative refrigerants with flammable properties</t>
  </si>
  <si>
    <r>
      <rPr>
        <sz val="11"/>
        <rFont val="Calibri"/>
      </rPr>
      <t>https://members.wto.org/crnattachments/2026/TBT/GUY/26_00282_00_e.pdf</t>
    </r>
  </si>
  <si>
    <t>Guyana National Bureau of Standards Act 11 of 1984 (Section 20 and 22).The Trade Act, Act No. 19 of 2007 (Section 7)A notice of the Specification for Labelling of commodities Part 10: Labelling of equipment, items and parts containing refrigerants, will appear in the Official Gazette of Guyana Legal Supplement. The document will appear as a Guyana Standard Specification, with mandatory status, and will be available for sale.</t>
  </si>
  <si>
    <t>Amendment to Food Regulations 1985 by inserting a new regulation 130A: Kelulut honey or stingless bee honey.</t>
  </si>
  <si>
    <t>Malaysia would like to inform WTO Members that the Amendment to the Food Regulations 1985, introducing a new Regulation 130A: Kelulut honey as notified in G/TBT/N/MYS/81, was adopted by the Attorney General’s Chambers through the Federal Government Gazette under the Food (Amendment) (No. 2) Regulations 2025.</t>
  </si>
  <si>
    <t>Kelulut honey or stingless bee honey (HS 0409.00) (ICS 67.180.10)</t>
  </si>
  <si>
    <t>040900 - Natural honey; 0409 - Natural honey</t>
  </si>
  <si>
    <t>67.180.10 - Sugar and sugar products; 67.180.10 - Sugar and sugar products</t>
  </si>
  <si>
    <t>Protection of human health and consumer protection</t>
  </si>
  <si>
    <t>Labelling; Food standards; Labelling; Food standards</t>
  </si>
  <si>
    <r>
      <rPr>
        <sz val="11"/>
        <rFont val="Calibri"/>
      </rPr>
      <t>https://members.wto.org/crnattachments/2026/TBT/MYS/final_measure/26_00227_00_e.pdf</t>
    </r>
  </si>
  <si>
    <t>Propuesta de Modificación del Manual para la Importación de Alimentos destinados al consumo humano.</t>
  </si>
  <si>
    <t>The current version of the Manual has been reviewed and the procedure for the entry of food products has been analysed. It was identified that the document does not clearly establish, either for interested parties or for inspection staff of the Regional Ministerial Secretariats (SEREMI) of Health, aspects such as the information required and the procedures to be followed in the process of controlling food products entering the country. In this regard, comments and requests to improve the Manual for the Importation of Food Intended for Human Consumption have been received from the SEREMI of Health, the National Customs Service, and the private sector, through the Executive Round Tables for Productivity led by the Chilean Economic Development Agency (CORFO). It was also identified that the deadline established for filing an administrative reconsideration appeal does not comply with Law No. 19.880. Furthermore, the wording of section 11, entitled "Importation of food products for processing and export", needs to be amended in order to clarify the procedure that applies to products intended for this purpose. In the light of the request by the National Customs Service to review section 10.2 of the Manual and the provisions relating to travel baggage, as well as the need to G/TBT/N/CHL/774- 2 - establish as soon as possible a procedure for donations in emergency situations, a decision was taken to partially update the document.</t>
  </si>
  <si>
    <t>Alimentos </t>
  </si>
  <si>
    <t>Fortalecer la transparencia </t>
  </si>
  <si>
    <r>
      <rPr>
        <sz val="11"/>
        <rFont val="Calibri"/>
      </rPr>
      <t>https://members.wto.org/crnattachments/2026/TBT/CHL/26_00269_00_s.pdf</t>
    </r>
  </si>
  <si>
    <t>- Manual para la Importación de Alimentos destinados al consumo humano- Reglamento Sanitario de los Alimentos Decreto Supremo N°977 Ministerio de Salud</t>
  </si>
  <si>
    <t>Propuesta de modificación de la resolución exenta 393/02 del Ministerio de Salud, fija directrices nutricionales sobre uso de vitaminas, minerales y fibras dietéticas en alimentos.</t>
  </si>
  <si>
    <t>At present, various types of sugar — both traditional and non-traditional — are used to sweeten foods. Additives that have the secondary effect of sweetening foods are also used. These additives are not expressly included in the list of fortification exclusions established by Exempt Resolution No. 393/02 of the Ministry of Health.This creates the risk that these substances could be used as vehicles for substances or elements that have a physiological effect on the body, such as vitamins, minerals, prebiotics, probiotics, beta-glucans, EPA, and DHA. This represents an interpretation problem under the regulation, with implications for control and compliance.</t>
  </si>
  <si>
    <r>
      <rPr>
        <sz val="11"/>
        <rFont val="Calibri"/>
      </rPr>
      <t>https://members.wto.org/crnattachments/2026/TBT/CHL/26_00281_00_s.pdf</t>
    </r>
  </si>
  <si>
    <t>DUS 2597:2026, Scouring pad — Specification, First Edition</t>
  </si>
  <si>
    <t>This Draft Uganda Standard specifies requirements, and test methods of scouring pads for household cleaning. Scouring pad is a general-purpose household cleaning hand pad made of high quality fibre forming an open textured web that has abrasive cleaning particles.</t>
  </si>
  <si>
    <t>Floorcloths, dishcloths, dusters and similar cleaning cloths, of all types of textile materials (HS code(s): 630710); Surface preparation (ICS code(s): 25.220.10); Scouring pad</t>
  </si>
  <si>
    <t>630710 - Floorcloths, dishcloths, dusters and similar cleaning cloths, of all types of textile materials</t>
  </si>
  <si>
    <t>25.220.10 - Surface preparation</t>
  </si>
  <si>
    <t>Consumer information, labelling (TBT); Protection of human health or safety (TBT); Protection of the environment (TBT); Quality requirements (TBT); Reducing trade barriers and facilitating trade (TBT); Cost saving and productivity enhancement (TBT)</t>
  </si>
  <si>
    <r>
      <rPr>
        <sz val="11"/>
        <rFont val="Calibri"/>
      </rPr>
      <t>https://members.wto.org/crnattachments/2026/TBT/UGA/26_00278_00_e.pdf</t>
    </r>
  </si>
  <si>
    <t>US ISO 3801, Textiles — Woven fabrics — Determination of mass per unit length and mass per unit areaUS ISO 105- C10, Textiles — Tests for colourfastness — Part C10: Colourfastness to washing with soap or soap and sodaUS ISO 105-X12, Textiles — Tests for colourfastness — Part X12: Colourfastness to rubbingUS ISO 139, Textiles — Standard atmospheres for conditioning and testingKS 1100, Scouring pad — SpecificationQ/LYQJ 001-2018, Cleaning block</t>
  </si>
  <si>
    <t>Modifica resolución No 2.313 de 2012, que establece requisitos fitosanitarios de importación para estacas y ramillas de Álamo (Populus spp.) procedentes de los Estados miembros de la Comunidad Europea (Amendment to Resolution No. 2.313 of 2012 establishing phytosanitary requirements for the importation of poplar (Populus spp.) cuttings and slips from European Community member States).</t>
  </si>
  <si>
    <t>The notified draft updates the phytosanitary requirements for poplar (Populus spp.) propagation material from European Community member States, as set forth in Resolution No. 2313/2012, by removing Eutypa lata from the list of quarantine pests and updating the names of the pests Calliteara (=Elkneria) pudibunda, Cryptodiaporthe populea and Xanthomonas populi (=Aplanobacter populi).Further details can be found in the document attached to this notification.</t>
  </si>
  <si>
    <t>Poplar (Populus spp.) cuttings and slips</t>
  </si>
  <si>
    <r>
      <rPr>
        <sz val="11"/>
        <rFont val="Calibri"/>
      </rPr>
      <t>https://members.wto.org/crnattachments/2026/SPS/CHL/26_00273_00_s.pdf
https://members.wto.org/crnattachments/2026/SPS/CHL/26_00273_01_s.pdf</t>
    </r>
  </si>
  <si>
    <t>National Standard of the P.R.C., Minimum allowable values and energy efficiency grades for centrifugal pump units for fresh water</t>
  </si>
  <si>
    <t>This document specifies the energy efficiency grades, technical requirements and testing methods for fresh water centrifugal pump units.This document  applies to centrifugal pump units equipped with electric motors or Power Drive Systems (PDS)within a rated voltage range of 100 V～1000 V, including:_x000D_
— Single-stage single-suction fresh water centrifugal pump units, single-stage double-suction fresh water centrifugal pump units, pipeline fresh water centrifugal pump units, multi-stage fresh water centrifugal pump units, and light-duty multi-stage fresh water centrifugal pump units;_x000D_
— Fresh water circulating pump units.</t>
  </si>
  <si>
    <t>Centrifugal pump (non-agricultural centrifugal pump), pump combination (combined pump), centrifugal pump unit, household centrifugal pump, multistage centrifugal pump, water pump (centrifugal pump) (HS code(s): 841370; 841381; 841391); (ICS code(s): 27.010)</t>
  </si>
  <si>
    <t>841370 - Centrifugal pumps, power-driven (excl. those of subheading 8413.11 and 8413.19, fuel, lubricating or cooling medium pumps for internal combustion piston engine and concrete pumps); 841391 - Parts of pumps for liquids, n.e.s.; 841381 - Pumps for liquids, power-driven (excl. those of subheading 8413.11 and 8413.19, fuel, lubricating or cooling medium pumps for internal combustion piston engine, concrete pumps, general reciprocating or rotary positive displacement pumps and centrifugal pumps of all kinds)</t>
  </si>
  <si>
    <t>27.010 - Energy and heat transfer engineering in general</t>
  </si>
  <si>
    <t>12 months after approved</t>
  </si>
  <si>
    <r>
      <rPr>
        <sz val="11"/>
        <rFont val="Calibri"/>
      </rPr>
      <t>https://members.wto.org/crnattachments/2026/TBT/CHN/26_00187_00_x.pdf</t>
    </r>
  </si>
  <si>
    <t>Proposed amendments of the Standards and Specifications for Food Utensils, Containers and Packages (Notice No. 2026-009, 8 January 2026)</t>
  </si>
  <si>
    <t>The proposed amendments seek to: a. Establish standards for the recognition of mechanically recycled polypropylene as raw material;b. Reorganize the composition system of the “Standards and Specifications for food utensils, Containers and Packages”, including Establishment of term definitions;c. Revise the Migrant specifications for DEHP and DEHA in Polyvinyl Chloride (PVC).</t>
  </si>
  <si>
    <t>Food utensils, containers and packages</t>
  </si>
  <si>
    <r>
      <rPr>
        <sz val="11"/>
        <rFont val="Calibri"/>
      </rPr>
      <t>https://members.wto.org/crnattachments/2026/SPS/KOR/26_00164_00_x.pdf</t>
    </r>
  </si>
  <si>
    <t>National Standard of the P.R.C., Technical Conditions for Automatic Fire Alarm System in Highway Tunnels</t>
  </si>
  <si>
    <t>This document specifies the terms for automatic fire alarm systems installed and used in highway tunnels, specifies the requirements, and describes the corresponding test methods._x000D_
This document applies to the design, manufacture, and inspection of certain products of the automatic fire alarm systems installed and used in highway tunnels.</t>
  </si>
  <si>
    <t>Automatic fire alarm system in highway tunnels (HS code(s): 853110); (ICS code(s): 13.220.20)</t>
  </si>
  <si>
    <t>853110 - Burglar or fire alarms and similar apparatus</t>
  </si>
  <si>
    <r>
      <rPr>
        <sz val="11"/>
        <rFont val="Calibri"/>
      </rPr>
      <t>https://members.wto.org/crnattachments/2026/TBT/CHN/26_00192_00_x.pdf</t>
    </r>
  </si>
  <si>
    <t>Approving the Regulations implementing Law No. 21.368 governing the distribution of single-use plastics and plastic bottles, and amending the legal texts indicated.__________1 This information can be provided by including a website address, a PDF attachment, or other information on where the text of the final/modified measure and/or interpretative guidance can be obtained.</t>
  </si>
  <si>
    <r>
      <rPr>
        <sz val="11"/>
        <rFont val="Calibri"/>
      </rPr>
      <t>https://www.diariooficial.interior.gob.cl/publicaciones/2026/01/07/44342/01/2748661.pdf</t>
    </r>
  </si>
  <si>
    <t>National Standard of the P.R.C., The maintenance and discard for the fire detection and alarm products</t>
  </si>
  <si>
    <t>This document specifies the maintenance, repair, and disposal requirements for fire detection and alarm products._x000D_
This document applies to fire detection and alarm products installed in buildings. Fire detection and alarm products used in other special places may refer to this document for guidance.</t>
  </si>
  <si>
    <t>Fire detection and alarm products (HS code(s): 853110); (ICS code(s): 13.220.20)</t>
  </si>
  <si>
    <r>
      <rPr>
        <sz val="11"/>
        <rFont val="Calibri"/>
      </rPr>
      <t>https://members.wto.org/crnattachments/2026/TBT/CHN/26_00189_00_x.pdf</t>
    </r>
  </si>
  <si>
    <t>Modifica Resolución N°9.074 de 2018 y Resolución N°1.557 de 2014 en el sentido de incorporar y actualizar autorizaciones especiales para plaguicidas naturales y sintéticos</t>
  </si>
  <si>
    <t>The notified measure responds to the need to update the requirements prescribed by SAG for microbial pesticides under Resolution No. 9.074/2018, harmonizing them with the regulations in Resolution No. 1.557/2014, and including new special authorizations for natural and synthetic pesticides. Moreover, definition and terms introduced in recent regulations are added, and the digitalization of documents and the use of advanced electronic signatures are regulated, among other things. Further details can be found in the document attached to this notification.G/TBT/N/CHL/705/Rev.1- 2 -</t>
  </si>
  <si>
    <t>Autorizaciones especiales para plaguicidas naturales y sintéticos.</t>
  </si>
  <si>
    <t>3808 - Insecticides, rodenticides, fungicides, herbicides, anti-sprouting products and plant-growth regulators, disinfectants and similar products, put up for retail sale or as preparations or articles, e.g. sulphur-treated bands, wicks and candles, and fly-papers</t>
  </si>
  <si>
    <t>A su publicación en el Diario Oficial</t>
  </si>
  <si>
    <r>
      <rPr>
        <sz val="11"/>
        <rFont val="Calibri"/>
      </rPr>
      <t>https://members.wto.org/crnattachments/2026/TBT/CHL/26_00186_00_s.pdf</t>
    </r>
  </si>
  <si>
    <t>• Ley N° 18.755, Orgánica del Servicio Agrícola y Ganadero;• Decreto con Fuerza de Ley R.R.A. N° 16, de 1963, del Ministerio de Hacienda, sobre Sanidad y Protección Animal;• Decreto Ley N° 3.557, Sobre Protección Agrícola;• Ley N° 4.601, sobre Caza;• Ley N° 19.039, de Propiedad Industrial;• Ley N° 19.880, que Establece Bases de los Procedimientos Administrativos que rigen los Actos de los Órganos de la Administración del Estado;• Ley Nº 19.799 sobre documentos electrónicos, firma electrónica y certificación de dicha firma;• Ley N° 20.089, que Crea el Sistema de Certificación de Productos Orgánicos Agrícolas;• Ley N°20.711 que Implementa la Convención de la Haya que suprime la exigencia de legalización de documentos públicos extranjeros (Convención de la Apostilla), adoptada el 5 de octubre de 1961 en La Haya, Países Bajos;• Ley N° 21.180 sobre Transformación Digital del Estado;• Decreto Supremo N° 719 de 1989, del Ministerio de Relaciones Exteriores, que Promulga el Convenio de Viena para la Protección de la Capa de Ozono y sus Anexos I y II;• Decreto Supremo N° 238 de 1990, del Ministerio de Relaciones Exteriores, que Promulga el Protocolo de Montreal relativo a las sustancias agotadoras de la capa de ozono, de 16 de septiembre de 1987;• Decreto Supremo N° 37 de 2005, del Ministerio de Relaciones Exteriores, que Promulga el Convenio de Róterdam para la aplicación del procedimiento de consentimiento fundamentado previo a ciertos plaguicidas y productos químicos peligrosos objeto de comercio internacional y sus anexos;• Decreto Supremo N° 38 de 2005, del Ministerio de Relaciones Exteriores, que Promulga el Convenio de Estocolmo sobre Contaminantes Orgánicos Persistentes;• Decreto Nº 181 de 2002, del Ministerio Economía, Fomento y Reconstrucción, que aprueba Reglamento de la ley Nº 19.799;• Decreto Nº 261 de 2018, del Ministerio de Relaciones Exteriores, que promulga el Acuerdo de Reconocimiento Mutuo de certificados de firma digital con la República Argentina y el protocolo adicional que lo incorpora al Acuerdo de Complementación Económica Nº 16;• Decreto Nº 73 de 2022, del Ministerio de Justicia y Derechos Humanos, que aprueba el reglamento que establece la forma, características y registro de las escrituras públicas otorgadas a través de medios electrónicos y protocolización de los documentos electrónicos, según lo dispuesto en el artículo 497 del Código de Procedimiento Civil, de acuerdo a lo previsto en el artículo 409 bis del Código Orgánico de Tribunales, incorporado por la ley Nº 21.394;• Decreto N° 228 de 2015 del Ministerio de Relaciones Exteriores, que promulga la Convención que suprime la exigencia de legalización de documentos públicos extranjeros;• Decreto N° 4 de 2020, del Ministerio Secretaría General de la Presidencia, Reglamento que regula la forma en que los procedimientos administrativos G/TBT/N/CHL/705/Rev.1- 3 - deberán expresarse a través de medio electrónicos, en las materias que indica, según los dispuesto en la ley N° 21.180 sobre Transformación Digital del Estado;• Decreto N° 183 de 2025 que establece el orden de subrogación del Servicio Agrícola y Ganadero;• Resolución N° 1.557 de 2014, del Servicio Agrícola y Ganadero, que establece las Exigencias para la autorización de plaguicidas;• Resolución 1.400 de 2015, del Servicio Agrícola y Ganadero, que establece la prorroga entrada en vigencia de resolución N° 1.557, de 2014;• Resolución 7.542 de 2017, del Servicio Agrícola y Ganadero, que establece Condiciones y requisitos para autorizar la fabricación de plaguicidas solo para exportación;• Resolución 5.392 de 2009, del Servicio Agrícola y Ganadero, que establece la Denominación y códigos de formulación de plaguicidas;• Resolución 6.666 de 2009, del Servicio Agrícola y Ganadero, que establece Disposiciones para autorizar el uso de plaguicidas en cultivos menores;• Resolución 1.297 de 2007, del Servicio Agrícola y Ganadero, que establece normas para el ingreso de feromonas de monitoreo de plagas cuya regulación competa al Servicio Agrícola y Ganadero;• Resolución 1.404 de 2003, del Servicio Agrícola y Ganadero, que establece Normas para el ingreso de patrones analíticos de plaguicidas cuya regulación competa al Servicio Agrícola y Ganadero;• Resolución 1.038 de 2003, del Servicio Agrícola y Ganadero, que Aprueba procedimientos de internación y formulación nacional de plaguicidas de uso agrícola;• Resolución 92 de 2002, del Servicio Agrícola y Ganadero, establece normas para ingreso de muestras de plaguicidas para experimentación;• Resolución 2.229 de 2001, del Servicio Agrícola y Ganadero, que establece Normas de ingreso de material biológico y deroga resoluciones que indica;• Resolución 2.195 de 2000, del Servicio Agrícola y Ganadero, que establece los Requisitos que deben cumplir las etiquetas de los envases de plaguicidas de uso agrícola;• Resolución 2.196 de 2000, del Servicio Agrícola y Ganadero, que establece la Clasificación toxicológica de plaguicidas de uso agrícola;• Resolución 2.198 de 2000, del Servicio Agrícola y Ganadero, que establece protocolos para ensayos con plaguicidas;• Resolución 9.074 de 2018, del Servicio Agrícola y Ganadero, que establece condiciones y requisitos para autorizar plaguicidas microbianos para comercialización;• Resolución 1.055 de 2022, del Servicio Agrícola y Ganadero, que autoriza plaguicidas para uso especial en aeronaves;• Resolución 2.082 de 2022, del Servicio Agrícola y Ganadero, que establece Condiciones y requisitos para la autorización de semioquímicos para el control de plagas;• Resolución 7.128 de 2022, del Servicio Agrícola y Ganadero, que modifica resolución Nº 1.557, de 2014, que establece exigencias para la autorización de plaguicidas;• Resolución 6.152 de 2023, del Servicio Agrícola y Ganadero, que establece Condiciones y requisitos para la autorización de plaguicidas naturales químicos a partir de extractos naturales de baja preocupación de origen vegetal, microbiano, animal, mineral y fermentación biológica para el control de plagas y modifica resoluciones que indica;G/TBT/N/CHL/705/Rev.1- 4 - • Resolución Nº 36 de 2024 de la Contraloría General de la República, y las facultades que invisto como Director Nacional de la Institución.Relevant notifications:• G/TBT/N/CHL/705</t>
  </si>
  <si>
    <t>Proposed Amendments to the Standards and Specifications for Foods (Advance Notice No. 2025-523, 23 December 2025)</t>
  </si>
  <si>
    <t>The proposed amendment seeks to: 1. Establish manufacturing and processing standards for foods produced using unpasteurized liquid eggs;2. Establish and revise standards and specifications for Standard Nutritional Formulas;3. Revise maximum residue limits (MRLs) for pesticides in food (three pesticides including Buprofezin).</t>
  </si>
  <si>
    <r>
      <rPr>
        <sz val="11"/>
        <rFont val="Calibri"/>
      </rPr>
      <t>https://members.wto.org/crnattachments/2026/SPS/KOR/26_00163_00_x.pdf</t>
    </r>
  </si>
  <si>
    <t>Proposed amendments of the Standards and Specifications for Food Utensils, Containers and Packages” (Notice No. 2026-008, 8 January 2026)</t>
  </si>
  <si>
    <t>The proposed amendments seek to: a. Establish specifications for infants and young children’s rubber products.</t>
  </si>
  <si>
    <r>
      <rPr>
        <sz val="11"/>
        <rFont val="Calibri"/>
      </rPr>
      <t>https://members.wto.org/crnattachments/2026/SPS/KOR/26_00165_00_x.pdf</t>
    </r>
  </si>
  <si>
    <t>Proposed Amendments to the Standards and Specifications for Foods (Advance Notice No. 2025-522, 23 December 2025)</t>
  </si>
  <si>
    <t>The proposed amendment seeks to: 1. Revise specifications for foodborne pathogens in Meal-type Dietary Management Foods;2. Revise food type names for Sugar-fed Honeycomb Honey and Sugar-fed Honey;3. Revise the lists of food ingredients in [Annex 1], [Annex 2] and [Annex 3];4. Establish and revise maximum residue limits (MRLs) for pesticides in food (124 pesticides including Dimesulfazet);5. Revise the maximum residue limit (MRL) for veterinary drugs in food (Phenylbutazone);6. Establish and revise general test methods.</t>
  </si>
  <si>
    <r>
      <rPr>
        <sz val="11"/>
        <rFont val="Calibri"/>
      </rPr>
      <t>https://members.wto.org/crnattachments/2026/SPS/KOR/26_00162_00_x.pdf</t>
    </r>
  </si>
  <si>
    <t>National Standard of the P.R.C., Special type fire detectors</t>
  </si>
  <si>
    <t>This document defines the terminology and definitions for special type fire detectors, specifies their classification and naming, requirements, inspection rules, marking and packaging, and describes the corresponding test methods._x000D_
This document applies to the design, manufacture, and inspection of all types of special fire detectors used in industrial and civil buildings.</t>
  </si>
  <si>
    <t>Special type fire detectors (HS code(s): 853110); (ICS code(s): 13.220.20)</t>
  </si>
  <si>
    <r>
      <rPr>
        <sz val="11"/>
        <rFont val="Calibri"/>
      </rPr>
      <t>https://members.wto.org/crnattachments/2026/TBT/CHN/26_00190_00_x.pdf</t>
    </r>
  </si>
  <si>
    <t>National Standard of the P.R.C., Self-contained heat alarms</t>
  </si>
  <si>
    <t>This document specifies the terms and definitions of self-contained heat alarms, specifies their classification, requirements, inspection rules and marking, and describes the corresponding test methods._x000D_
This document applies to the design, manufacture and inspection of self-contained heat alarms used in industrial and civil buildings.</t>
  </si>
  <si>
    <t>Self-contained heat alarms (HS code(s): 853110); (ICS code(s): 13.220.20)</t>
  </si>
  <si>
    <r>
      <rPr>
        <sz val="11"/>
        <rFont val="Calibri"/>
      </rPr>
      <t>https://members.wto.org/crnattachments/2026/TBT/CHN/26_00191_00_x.pdf</t>
    </r>
  </si>
  <si>
    <t>The notification G/TBT/N/KEN/1963 was published erroneously and should therefore be considered null and void.</t>
  </si>
  <si>
    <t>7010 - Carboys, bottles, flasks, jars, pots, phials, ampoules and other containers, of glass, of a kind used for the conveyance or packing of goods, preserving jars, stoppers, lids and other closures, of glass (excl. glass envelopes and containers, with vacuum insulation, perfume atomizers, flasks, bottles etc. for atomizers); 7010 - Carboys, bottles, flasks, jars, pots, phials, ampoules and other containers, of glass, of a kind used for the conveyance or packing of goods, preserving jars, stoppers, lids and other closures, of glass (excl. glass envelopes and containers, with vacuum insulation, perfume atomizers, flasks, bottles etc. for atomizers)</t>
  </si>
  <si>
    <t>55.100 - Bottles. Pots. Jars; 55.100 - Bottles. Pots. Jars</t>
  </si>
  <si>
    <t>National Standard of the P.R.C., Escape apparatus for building fire Part 2: Automatic and repetitive rescue controlled descent device</t>
  </si>
  <si>
    <t>This document specifies the terms and definitions for automatic and repetitive rescue controlled descent device. It specifies the model, technical requirements, inspection rules, marking, packaging, transportation and storage and describes the test methods. _x000D_
This document applies to descent devices composed of a speed governor, rope, safety harness, safety hook, metal connectors, and a rope reel, which rely on the user's body weight for descent and can be used repeatedly. </t>
  </si>
  <si>
    <t>Automatic and repetitive rescue controlled descent device (HS code(s): 848790); (ICS code(s): 13.220.10)</t>
  </si>
  <si>
    <t>848790 - Parts of machinery of chapter 84, not intended for a specific purpose, n.e.s.</t>
  </si>
  <si>
    <t>13.220.10 - Fire-fighting</t>
  </si>
  <si>
    <r>
      <rPr>
        <sz val="11"/>
        <rFont val="Calibri"/>
      </rPr>
      <t>https://members.wto.org/crnattachments/2026/TBT/CHN/26_00188_00_x.pdf</t>
    </r>
  </si>
  <si>
    <t>Commission Implementing Regulation (EU) 2025/2491 of 10 December 2025 concerning the authorisation of a preparation of 25-hydroxycholecalciferol produced with Saccharomyces cerevisiae CBS 146008 as a feed additive for all animal species except poultry, pigs and ruminants (Text with EEA relevance)</t>
  </si>
  <si>
    <t>This Regulation authorises for the first time in the European Union and for a period of ten years 25-hydroxycholecalciferol produced with Saccharomyces cerevisiae CBS 146008 as a feed additive belonging to the additive category ‘nutritional additives’ and in the functional group ‘vitamins, pro-vitamins and chemically well-defined substances having similar effect’ for all animal species except poultry, pigs and ruminants. This authorisation is based on the favourable conclusions of a scientific assessment of the dossier submitted by the applicant, conducted by the European Food Safety Authority (EFSA). The terms of the authorisation are detailed in the Annex to the Act.</t>
  </si>
  <si>
    <r>
      <rPr>
        <sz val="11"/>
        <rFont val="Calibri"/>
      </rPr>
      <t>https://members.wto.org/crnattachments/2026/SPS/EEC/26_00230_00_e.pdf
https://members.wto.org/crnattachments/2026/SPS/EEC/26_00230_00_f.pdf
https://members.wto.org/crnattachments/2026/SPS/EEC/26_00230_00_s.pdf</t>
    </r>
  </si>
  <si>
    <t>Draftamendments to the Sixteenth Schedule (Regulation 41) of the Food Regulations 1985 [P.U. (A) 437/1985]. Pesticide Residue</t>
  </si>
  <si>
    <t>The proposed amendments to the Sixteenth Schedule (Regulation 41) of the Food Regulations 1985 [P.U. (A) 437/1985] regarding the Pesticide Residues involve the following details:1. Addition of maximum residue limits (MRLs) for 19 new pesticides: Tetraniliprole, Permethrin, Carfentrazone-Ethyl, Clomazone, Cyproconazole, Esfenvalerate, Metolachlor, Oxolinic Acid, Picoxystrobin, Pretilachlor, Pydiflumetofen, Difenoconazole, Methidathion, Propineb, Pyridaben, Fenazaquin, Isocycloseram, Omethoate, Cyflufenamid;2. Addition of new MRLs for new commodities related to existing pesticides:Ametoctradin, Buprofezin, Chromafenozide, Lufenuron, Glufosinate-Ammonium, Prochloraz, Propiconazole, Cyromazine, Tebuconazole, Trifloxystrobin, Azoxystrobin, Spinetoram, Imidacloprid, Carbaryl, Lambda-cyhalothrin, Pyriproxyfen, Dinotefuran, Clothianidin, Deltamethrin, Carbaryl, Metalaxyl, Amitraz, Cyfluthrin/ beta-cyfluthrin, Acetamiprid, Emamectin benzoate, Pirimiphos-methyl, Difenoconazole, Fluopyram, Hexaconazole, Iprodione, Fenvalerate,  Thiamethoxam, Zeta-Cypermethrin, Bifenthrin, Clethodim;3. Deletion of three MRLs and its particulars:Trichlorfon, Monocrotophos and Methamidophos.</t>
  </si>
  <si>
    <t>Some of the proposed pesticides MRLs are not in Codex Alimentarius and some of the proposed pesticides MRLs differ from Codex Alimentarius such as Tetraniliprole in cabbage, Ametoctradin in tomato, Propiconazole in banana, Pydiflumetofen in maize, Pydiflumetofen in watermelon, Cyromazine in spring onion, Tebuconazole in spring onion, Fluopyram in strawberry and Isocycloseram in tomato. The proposed pesticides MRLs were established based on residue trials carried out in Malaysia and by other countries.</t>
  </si>
  <si>
    <t>Projet de décret relatif à la qualité et à la sécurité sanitaire des bières et des boissons spiritueuses (Draft decree on the quality and the health safety of beer and spirits)</t>
  </si>
  <si>
    <t>The purpose of the notified draft decree is to:• revise the outdated regulatory framework for beer and spirits;• define beer and spirits;• set out the provisions governing the labelling and presentation of said products;• institute a trading licence for beer;• set the validity period for a beer and spirits trading license at five years, renewable at the holder's request;• establish, by order of the government authority responsible for agriculture, the characteristics of beer and spirits, as well as the names under which those products may be marketed and the specific information required on the labels.</t>
  </si>
  <si>
    <t>Beer and spirits</t>
  </si>
  <si>
    <t>2208 - Undenatured ethyl alcohol of an alcoholic strength of &lt; 80%; spirits, liqueurs and other spirituous beverages (excl. compound alcoholic preparations of a kind used for the manufacture of beverages); 2207 - Undenatured ethyl alcohol of an alcoholic strength of &gt;= 80%; ethyl alcohol and other spirits, denatured, of any strength; 220300 - Beer made from malt</t>
  </si>
  <si>
    <r>
      <rPr>
        <sz val="11"/>
        <rFont val="Calibri"/>
      </rPr>
      <t>https://members.wto.org/crnattachments/2026/SPS/MAR/26_00167_00_f.pdf</t>
    </r>
  </si>
  <si>
    <t>Draft Standards for Pesticide Residue Limits in Foods</t>
  </si>
  <si>
    <t>Amendment of pesticide MRLs of Abamectin, Afidopyropen, Bifenthrin, Buprofezin, Cartap, Chlorantraniliprole, Chlorfenapyr, Chlorfluazuron, Cyantraniliprole, Cyenopyrafen, Cyhalothrin, Cyromazine, Deltamethrin, Dithianon, Emamectin benzoate, Famoxadone, Fenitrothion, Fenpropathrin, Fenvalerate, Florylpicoxamid, Flucythrinate, Flutolanil, Fosetyl-Al, Imazalil, Imidacloprid, Ipflufenoquin, Isocycloseram, Kresoxim-methyl, Malathion, Mandestrobin, Pencycuron, Phosmet, Profenofos, Pydiflumetofen, Pyriofenone, Sulfoxaflor, Tebufenozide, Tetraniliprole, in fruits, vegetables, cereal grains, dry beans, tree nuts, herbs, hops and coffee bean. Revocation of pesticide MRLs of Tolylfluanid.</t>
  </si>
  <si>
    <t>Fruits, vegetables, cereal grains, dry beans, tree nuts, herbs, hops, and coffee bean</t>
  </si>
  <si>
    <r>
      <rPr>
        <sz val="11"/>
        <rFont val="Calibri"/>
      </rPr>
      <t>https://members.wto.org/crnattachments/2026/SPS/TPKM/26_00161_00_x.pdf
https://members.wto.org/crnattachments/2026/SPS/TPKM/26_00161_00_e.pdf</t>
    </r>
  </si>
  <si>
    <t>Chinese Taipei follows Codex principles and FAO risk assessment procedures when setting pesticide MRLs.</t>
  </si>
  <si>
    <t>The Occupational Safety and Health Administration (OSHA) is correcting several inadvertent errors in its Hazard Communication Standard (HCS). Most errors relate to the HCS final rule published in the Federal Register on 20 May 2024 (notified as G/TBT/N/USA/1697/Add.4). On 9 October 2024, the agency issued a corrections notification and technical amendment (notified as G/TBT/N/USA/1697/Add.4/Corr.1) to correct errors in that final rule which the agency believed could lead to confusion during the classification process or errors on labels and Safety Data Sheets (SDSs) if not expeditiously corrected. Following publication of the 9 October 2024 corrections notification and technical amendment, OSHA continued its review of the regulatory text and identified additional minor and typographical errors in the regulatory text and appendices to the HCS. OSHA is issuing this correction document to address these additional minor errors. OSHA is also making one technical amendment to an appendix of the HCS unrelated to the 20 May 2024 final rule.The corrections in this document are effective 8 January 2026. The incorporation by reference of certain material listed in this rule was approved by the Director of the Federal Register as of 19 July 2024.91 Federal Register (FR) 562, 8 January 2026; Title 29 Code of Federal Regulations (CFR) Part 1910_x000D_
https://www.govinfo.gov/content/pkg/FR-2026-01-08/html/2026-00147.htm_x000D_
https://www.govinfo.gov/content/pkg/FR-2026-01-08/pdf/2026-00147.pdfThis and previous actions notified under the symbol G/TBT/N/USA/1697 are identified by Docket Number OSHA-2019-0001. The Docket Folder is available on Regulations.gov at https://www.regulations.gov/search?filter=OSHA-2019-0001 and provides access to primary and supporting documents as well as comments received. Documents are also accessible from Regulations.gov by searching the Docket Number.</t>
  </si>
  <si>
    <r>
      <rPr>
        <sz val="11"/>
        <rFont val="Calibri"/>
      </rPr>
      <t>https://members.wto.org/crnattachments/2026/TBT/USA/26_00160_00_e.pdf</t>
    </r>
  </si>
  <si>
    <t>Draft Decision of the Council of the Eurasian Economic Commission on Amendments to the Common Quarantine Phytosanitary Requirements for Regulated Products and Pests at the Customs Border and in the Customs Territory of the Eurasian Economic Union</t>
  </si>
  <si>
    <t>The draft amends the Common Quarantine Phytosanitary Requirements for Regulated Products and Pests at the Customs Border and in the Customs Territory of the EAEU with requirements for certain types of regulated products, including for new items subject to phytosanitary requirements, with regard to the causal agent of potato brown rot (Ralstonia solanacearum (Smith) Yabuuchi et al.). It also establishes requirements for fresh or dried grapes to ensure the absence of Pseudococcus comstocki (Kuwana).</t>
  </si>
  <si>
    <t>Plants: olive (Olea europaea) seedlings, white mulberry (Morus alba) seedlings, strawberry (Fragaria spp.) seedlings, blueberry and bilberry (Vaccinium spp.) seedlings, bougainvillea (Bougainvillea sp.) plants, roselle (Hibiscus sabdariffa) plants, hibiscus (Hibiscus sp.) plants, chrysanthemum (Chrysanthemum) plants; plants of banana (Musa), plants of enseteEnsete ventricosum), plants of fig (Ficus carica), plants of clove (Syzygium aromaticum), plants of guava (Psidium guajava), Java apple (Syzygium samarangense) plants, heliconia (Heliconia) plants, bird of paradise (Strelitzia reginae) plants, sugar apple (Annona squamosa) plants, pandanusPandanus sp.) plants;Fresh or chilled vegetables and fruits: tomatoes (Lycopersicon), fresh or chilled; peppers, fresh or chilled; eggplants (aubergines), fresh or chilled; ginger, neither crushed nor ground, fresh; bananas, including plantains, fresh; grapes, fresh or dried.(HS code(s): 0602; 0702; 070960; 070930; 091011; 0803; 0806)</t>
  </si>
  <si>
    <r>
      <rPr>
        <sz val="11"/>
        <rFont val="Calibri"/>
      </rPr>
      <t xml:space="preserve">https://members.wto.org/crnattachments/2026/SPS/ARM/26_00134_00_x.pdf
https://members.wto.org/crnattachments/2026/SPS/ARM/26_00134_01_x.pdf
https://regulation.eaeunion.org/orv/3303/
https://members.wto.org/crnattachments/2025/SPS/RUS/25_09252_00_x.pdf
https://members.wto.org/crnattachments/2025/SPS/RUS/25_09252_01_x.pdf
</t>
    </r>
  </si>
  <si>
    <t>The U.S. Department of Energy (DOE) is amending its regulations in compliance with a United States Court of Appeals for the Eighth Circuit court decision vacating the 29 March 2024 rule (notified as G/TBT/N/USA/1983/Add.2) revising procedures for calculating a value for the petroleum-equivalent fuel economy of electric vehicles (EVs) used by the Environmental Protection Agency (EPA) in calculating light-duty vehicle manufacturers' compliance with the Department of Transportation's (DOT) Corporate Average Fuel Economy (CAFE) standards.This action is effective on 8 January 2026. However, the opinion had legal effect on 5 September 2025.91 Federal Register (FR) 553, 8 January 2026; Title 10 Code of Federal Regulations (CFR) Part 474_x000D_
https://www.govinfo.gov/content/pkg/FR-2026-01-08/html/2026-00154.htm_x000D_
https://www.govinfo.gov/content/pkg/FR-2026-01-08/pdf/2026-00154.pdf_x000D_
This technical amendment is identified by Docket Number EERE-2025-VT-0073. The Docket Folder is available from Regulations.gov at https://www.regulations.gov/docket/EERE-2025-VT-0073/documentPrevious actions notified under the symbol G/TBT/N/USA/1983 are identified by Docket Number EERE-2021-VT-0033. The Docket Folder is available from Regulations.gov at https://www.regulations.gov/docket/EERE-2021-VT-0033/document and provides access to primary documents as well as comments received. Documents are also accessible from Regulations.gov by searching the Docket Number. </t>
  </si>
  <si>
    <r>
      <rPr>
        <sz val="11"/>
        <rFont val="Calibri"/>
      </rPr>
      <t>https://members.wto.org/crnattachments/2026/TBT/USA/modification/26_00159_00_e.pdf</t>
    </r>
  </si>
  <si>
    <t>Arrêté du 5 janvier 2026 portant suspension d'importation, d'introduction et de mise sur le marché à titre gratuit ou onéreux, en France, de denrées alimentaires provenant de pays tiers à l'Union européenne contenant des résidus de certaines substances actives phytopharmaceutiques interdites d'utilisation dans l'Union européenne. NOR: AGRG2600034 (Order of 5 January 2026 suspending the importation, introduction and placing on the market in France, whether free of charge or for a consideration, of foodstuffs from non-European Union countries containing residues of certain active plant protection substances the use of which is prohibited in the European Union. NOR: AGRG2600034)</t>
  </si>
  <si>
    <t>The notified order, adopted by the French authorities pursuant to Article 54 of Regulation (EC) No 178/2002, suspends the importation, introduction and placing on the market, whether free of charge or for a consideration, of foodstuffs or animal feed containing residues of the following active substances: glufosinate, mancozeb, thiophanate-methyl, carbendazim and benomyl, given the risks to human health in the event of dietary exposure to those substances.This suspension concerns various fruits, vegetables, cereals, mushrooms and algae, in which residues of the substances concerned may also be present at levels that are a cause for concern.</t>
  </si>
  <si>
    <t>Foodstuffs from non-European Union countries containing residues of certain active plant protection substances the use of which is prohibited in the European Union</t>
  </si>
  <si>
    <r>
      <rPr>
        <sz val="11"/>
        <rFont val="Calibri"/>
      </rPr>
      <t>https://members.wto.org/crnattachments/2026/SPS/FRA/26_00158_00_f.pdf</t>
    </r>
  </si>
  <si>
    <t>See point 8.</t>
  </si>
  <si>
    <t>Costa Rican Technical Regulation (RTCR) No. 510:2023: Electrical products. String lights, Christmas decorations and decorative items for domestic use. Specifications and labelling</t>
  </si>
  <si>
    <t>Approval is hereby issued for the equivalence between the Technical Regulations on Lights and Street Lighting (RETILAP) (Resolution No. 40150 of 3 May 2024) and Executive Decree No. 44422-MEIC, RTCR 510: 2023 "Electrical products. String lights, Christmas decorations and decorative items for domestic use. Specifications and labelling".__________1 This information can be provided by including a website address, a PDF attachment, or other information on where the text of the final/modified measure and/or interpretative guidance can be obtained.</t>
  </si>
  <si>
    <t>ICS 91.120.40</t>
  </si>
  <si>
    <t>91.120.40 - Lightning protection; 91.120.40 - Lightning protection</t>
  </si>
  <si>
    <r>
      <rPr>
        <sz val="11"/>
        <rFont val="Calibri"/>
      </rPr>
      <t>https://members.wto.org/crnattachments/2026/TBT/CRI/26_00153_00_s.pdf</t>
    </r>
  </si>
  <si>
    <t>Draft Order of the Ministry of Agrarian Policy and Food of Ukraine "On Approval of Minimum Requirements for Mixed Fruits in Syrup and/or in Natural Fruit Juice"</t>
  </si>
  <si>
    <t>Ukraine notifies the adoption of the Order of the Ministry of Economy, Environment and Agriculture of Ukraine No. 812 “On Approval of Minimum Requirements for Mixed Fruits in Syrup and/or in Natural Fruit Juice” of 20 October 2025.The Order was registered in the Ministry of Justice of Ukraine on 05 December 2025.This Order was published on 26 December 2025 and will enter into force six months after its official publication, i.e. on 26 June 2026.The Order also stipulates that mixed fruits in syrup and/or in natural fruit juice that do not comply with the provisions of the Minimum Requirements for Mixed Fruits in Syrup and/or in Natural Fruit Juice approved by this Order may be produced and/or placed on the market for three years from the date this Order enters into force. Such food products may remain in circulation until their expiration date or the end of their minimum shelf life.</t>
  </si>
  <si>
    <t>mixed fruits</t>
  </si>
  <si>
    <t>67.080.10 - Fruits and derived products; 67.080.10 - Fruits and derived products</t>
  </si>
  <si>
    <r>
      <rPr>
        <sz val="11"/>
        <rFont val="Calibri"/>
      </rPr>
      <t>https://members.wto.org/crnattachments/2026/TBT/UKR/final_measure/26_00166_00_x.pdf</t>
    </r>
  </si>
  <si>
    <t>Requirements for the importation of meat, poultry and their products, applied by the General Organization for Veterinary services (GOVS) at the Ministry of Agriculture and Land Reclamation (MoALR).</t>
  </si>
  <si>
    <t>Products covered Meat, poultry and their products.This addendum concerns the notification that the General Organization for Veterinary Services (GOVS) at the Ministry of Agriculture and Land Reclamation (MoALR) as the competent authority has approved “Halal – ALQAHIRAH” as the currently approved and recognized Halal certification body for imports of meat, poultry and their products. It is worth noting that the former ISEG Halal has officially changed its trade name to “Halal – ALQAHIRAH”.The trade name “Halal –ALQAHIRAH” shall serve as the sole and exclusive trade identity of the company for all future commercial, and official purposes, both domestically and internationally.Proposed date of adoption: Adopted.Proposed date of entry into force: 01 February 2026Agency or authority designated to handle comments and text available from:National Enquiry Point Egyptian Organization for Standardization and Quality 16 Tadreeb El-Modarrebeen St., Ameriya, Cairo – EgyptE-mail: eos@eos.org.egeos.tbt@eos.org.egWebsite: http://www.eos.org.egTel : + (202) 22845528Fax : + (202) 22845504</t>
  </si>
  <si>
    <t>Meat, Poultry and their Products, Milk and Dairy Products.</t>
  </si>
  <si>
    <t>67.100 - Milk and milk products; 67.100 - Milk and milk products; 67.120 - Meat, meat products and other animal produce; 67.120 - Meat, meat products and other animal produce</t>
  </si>
  <si>
    <t>Providing the consumer clearly the status of the products regarding Islamic ShariaEnsuring that food does not contain anything that is not conformed to Islamic Sharia</t>
  </si>
  <si>
    <t>Animal health requirements for the importation of fishery products intended for human consumption</t>
  </si>
  <si>
    <t>Establishes the animal health requirements for the importation into Brazil of fishery products intended for human consumption</t>
  </si>
  <si>
    <t>Fishery products</t>
  </si>
  <si>
    <r>
      <rPr>
        <sz val="11"/>
        <rFont val="Calibri"/>
      </rPr>
      <t>https://members.wto.org/crnattachments/2026/SPS/BRA/26_00110_00_x.pdf</t>
    </r>
  </si>
  <si>
    <t>Withdrawing from the market certain feed additives</t>
  </si>
  <si>
    <t>The proposal notified in G/SPS/N/EU/863 (17 July 2025) is now adopted by Commission Implementing Regulation (EU) 2025/2575 of 18 December 2025 withdrawing from the market certain feed additives (Text with EEA relevance).This Regulation shall enter into force on the twentieth day following that of its publication in the Official Journal of the European Union.</t>
  </si>
  <si>
    <r>
      <rPr>
        <sz val="11"/>
        <rFont val="Calibri"/>
      </rPr>
      <t>https://members.wto.org/crnattachments/2026/SPS/EEC/26_00102_00_e.pdf
https://members.wto.org/crnattachments/2026/SPS/EEC/26_00102_00_f.pdf
https://members.wto.org/crnattachments/2026/SPS/EEC/26_00102_00_s.pdf</t>
    </r>
  </si>
  <si>
    <t>Draft amendment of Part B of the “Quarantine Requirements for the Importation of Plants or Plant Products”</t>
  </si>
  <si>
    <t>This document amends Part B of the “Quarantine Requirements for the Importation of Plants or Plant Products” by establishing specific import conditions for Epiphyas postvittana, updating the regulated pest list in accordance with current scientific evidence.</t>
  </si>
  <si>
    <r>
      <rPr>
        <sz val="11"/>
        <rFont val="Calibri"/>
      </rPr>
      <t>https://members.wto.org/crnattachments/2026/SPS/TPKM/26_00125_00_e.pdf</t>
    </r>
  </si>
  <si>
    <t>Propuesta de requisitos fitosanitarios para la importación a México de arroz pulido (Oryza sativa), originario y procedente de la República de Corea (Draft phytosanitary requirements governing the importation of polished rice (Oryza sativa) originating in and coming from the Republic of Korea)</t>
  </si>
  <si>
    <t>The notified draft phytosanitary requirements governing the importation into Mexico of polished rice (Oryza sativa), originating in and coming from the Republic of Korea, were determined by SENASICA, pursuant to the Agreement on the Application of Sanitary and Phytosanitary Measures.</t>
  </si>
  <si>
    <t>Polished rice (Oryza sativa)</t>
  </si>
  <si>
    <t>1006 - Rice</t>
  </si>
  <si>
    <t>Food safety; Human health; Territory protection</t>
  </si>
  <si>
    <r>
      <rPr>
        <sz val="11"/>
        <rFont val="Calibri"/>
      </rPr>
      <t>https://members.wto.org/crnattachments/2026/SPS/MEX/26_00119_00_s.pdf
https://www.gob.mx/senasica/documentos/consulta-publica-de-requisitos-fitosanitarios</t>
    </r>
  </si>
  <si>
    <t>G/SPS/N/MEX/459- 2 -</t>
  </si>
  <si>
    <t>BPJPH Extends Comment  for The Draft Decree of The Minister of Religious Affairs Regarding Establishment of Harmonized System Codification of Types of Products that are Required to be Halal Certified in Food and Beverages </t>
  </si>
  <si>
    <t>WTO Members and their stakeholders are asked to submit comments to Indonesia WTO TBT Enquiry Point by or before 4pm Jakarta Time (UTC+7) on 16 January 2026.  Comments will be responded to if submitted prior to the final comment deadline.</t>
  </si>
  <si>
    <t>Food and Beverages</t>
  </si>
  <si>
    <t>67.040 - Food products in general; 67.040 - Food products in general; 67.160 - Beverages; 67.160 - Beverages</t>
  </si>
  <si>
    <t>Reforma Parcial a la Normativa Técnica Sanitaria para la obtención del certificado de requerimiento o no del registro sanitario, notificación sanitaria o notificación sanitaria obligatoria de productos de uso y consumo humano sujetos a control y vigilancia de la Agencia Nacional de Regulación, Control y Vigilancia Sanitaria - ARCSA, Doctor Leopoldo Izquieta Pérez (Partial amendment to the Sanitary Technical Regulations for obtaining the certificate indicating whether or not health registration, a health notification or a mandatory health notification is required for products for human use and consumption subject to control and surveillance by the National Agency for Health Regulation, Control and Surveillance (ARCSA), Doctor Leopoldo Izquieta Pérez)</t>
  </si>
  <si>
    <t>The Republic of Ecuador hereby notifies Resolution ARCSA-DE-2025-047-DASP, issuing the partial amendment to the Sanitary Technical Regulations for obtaining the certificate 1 This information can be provided by including a website address, a PDF attachment, or other information on where the text of the final/modified measure and/or interpretative guidance can be obtained.G/TBT/N/ECU/508/Add.4- 2 - indicating whether or not health registration, a health notification or a mandatory health notification is required for products for human use and consumption subject to control and surveillance by the National Agency for Health Regulation, Control and Surveillance (ARCSA), Doctor Leopoldo Izquieta Pérez. The notified Resolution incorporates the definitions of Reagent for In Vitro Use (RUO/IUO) and Laboratory Developed Test (LDT), establishes the requirements applicable to such products, and updates the validity of the certificate indicating whether or not health registration/a health notification/a mandatory health notification (RS/NS/NSO) is required.Ministerio de Producción, Comercio Exterior, Inversiones y Pesca, MPCEIP (Ministry of Production, Foreign Trade, Investment and Fisheries)Subsecretaría de la Calidad (Under-Secretariat for Quality)Primary enquiry point:Cristian Eduardo Yépez JaramilloPlataforma Gubernamental de Gestión FinancieraAv. Amazonas entre Unión Nacional de Periodistas y Alfonso PereiraPiso 8Bloque amarilloQuito EC170522Tel.: (+593 2) 3948760, Ext. 2254/2252Email: puntocontacto-otcecu@produccion.gob.ec; puntocontactoecu@gmail.com; cyepez@produccion.gob.ecWebsite: http://www.produccion.gob.ec__________</t>
  </si>
  <si>
    <t>Proyecto de "Normativa Técnica Sanitaria para la obtención del certificado de requerimiento o no de la notificación sanitaria de alimentos procesados, plaguicidas o notificación sanitaria obligatoria de cosméticos y productos higiénicos, y certificado de requerimiento o no de registro sanitario de medicamentos, productos naturales, dispositivos médicos y reactivos bioquímicos", misma que establece el procedimiento para la obtención del certificado de requerimiento o no.</t>
  </si>
  <si>
    <t>11.040 - Medical equipment; 11.040 - Medical equipment; 11.120 - Pharmaceutics; 11.120 - Pharmaceutics; 65.100 - Pesticides and other agrochemicals; 65.100 - Pesticides and other agrochemicals; 67.230 - Prepackaged and prepared foods; 67.230 - Prepackaged and prepared foods; 71.100.70 - Cosmetics. Toiletries; 71.100.70 - Cosmetics. Toiletries</t>
  </si>
  <si>
    <r>
      <rPr>
        <sz val="11"/>
        <rFont val="Calibri"/>
      </rPr>
      <t>https://members.wto.org/crnattachments/2026/TBT/ECU/26_00113_00_s.pdf</t>
    </r>
  </si>
  <si>
    <t>Resolución para regular la importación de varetas de Cítricos (Citrus spp.) para propagación originarios de Panamá (Resolution governing the importation of citrus (Citrus spp.) cuttings for propagation originating in Panama)Costa Rica hereby advises of the entry into force of the phytosanitary measures notified in document G/SPS/N/CRI/335, adopted pursuant to Resolution No. 001-2026-CV-ARP-SFE of the State Phytosanitary Service, Plant Quarantine Department, Pest Risk Analysis Unit, establishing phytosanitary requirements for the importation of citrus (Citrus spp.) cuttings for propagation originating in Panama.https://members.wto.org/crnattachments/2026/SPS/CRI/26_00149_00_s.pdf</t>
  </si>
  <si>
    <t>Citrus (Citrus spp.) cuttings for propagation (HS code(s): 0602)</t>
  </si>
  <si>
    <r>
      <rPr>
        <sz val="11"/>
        <rFont val="Calibri"/>
      </rPr>
      <t>https://members.wto.org/crnattachments/2026/SPS/CRI/26_00149_00_s.pdf</t>
    </r>
  </si>
  <si>
    <t>Establece requisitos fitosanitarios de importación para plantas y ramillas de Persea americana para propagación, procedentes de Estados unidos de Norteamérica y modifica la Resolución No 5.479 del 13 de noviembre de 2006 (Establishing phytosanitary import requirements for Persea americana plants and slips for propagation from the United States of America, and amending Resolution No. 5.479 of 13 November 2006)</t>
  </si>
  <si>
    <t>The notified draft updates the phytosanitary requirements for avocado (Persea americana) propagation material from the United States of America, as set forth in Resolution No. 5.479/2006 establishing import regulations for the listed reproduction material originating in the United States of America, as the current requirements have not been amended in almost 20 years.Further details can be found in the document attached to this notification.</t>
  </si>
  <si>
    <t>Persea americana plants and slips</t>
  </si>
  <si>
    <t>060220 - Edible fruit or nut trees, shrubs and bushes, whether or not grafted; 080440 - Fresh or dried avocados</t>
  </si>
  <si>
    <t>Sixty days after publication in the Official Journal.</t>
  </si>
  <si>
    <r>
      <rPr>
        <sz val="11"/>
        <rFont val="Calibri"/>
      </rPr>
      <t>https://members.wto.org/crnattachments/2025/SPS/CHL/25_09270_00_s.pdf
https://members.wto.org/crnattachments/2025/SPS/CHL/25_09270_01_s.pdf</t>
    </r>
  </si>
  <si>
    <t>1,3-Butadiene; Risk Evaluation Under the Toxic Substances Control 
Act (TSCA); Notice of Availability</t>
  </si>
  <si>
    <t>The Environmental Protection Agency (EPA or Agency) is 
announcing the availability of the final risk evaluation under the 
Toxic Substances Control Act (TSCA) for 1,3-butadiene (CASRN 106-99-0). 
The purpose of risk evaluations under TSCA is to determine whether a 
chemical substance presents an unreasonable risk of injury to health or 
the environment under the conditions of use, including unreasonable 
risk to potentially exposed or susceptible subpopulations identified as 
relevant to the risk evaluation by EPA, and without consideration of 
costs or non-risk factors. EPA used the best available science to 
prepare this final risk evaluation and determined, based on the weight 
of scientific evidence, that 1,3-butadiene poses unreasonable risk to 
human health driven by specific conditions of use. EPA will now 
initiate risk management actions to address the unreasonable risk.</t>
  </si>
  <si>
    <t>1,3-Butadiene; Environmental protection (ICS code(s): 13.020); Production in the chemical industry (ICS code(s): 71.020); Products of the chemical industry (ICS code(s): 71.100)</t>
  </si>
  <si>
    <t>13.020 - Environmental protection; 71.020 - Production in the chemical industry; 71.100 - Products of the chemical industry</t>
  </si>
  <si>
    <r>
      <rPr>
        <sz val="11"/>
        <rFont val="Calibri"/>
      </rPr>
      <t>https://members.wto.org/crnattachments/2026/TBT/USA/26_00143_00_e.pdf</t>
    </r>
  </si>
  <si>
    <t>91 Federal Register (FR) 264, 5 January 2026:_x000D_
https://www.govinfo.gov/content/pkg/FR-2026-01-05/html/2025-24246.htm_x000D_
https://www.govinfo.gov/content/pkg/FR-2026-01-05/pdf/2025-24246.pdfThis notice is identified by Docket Numbers EPA-HQ-OPPT-2018-0451 and EPA-HQ-OPPT-2024-0425. The Docket Folders are available from Regulations.gov at https://www.regulations.gov/docket/EPA-HQ-OPPT-2018-0451/document and https://www.regulations.gov/docket/EPA-HQ-OPPT-2024-0425/document and provide access to primary and supporting documents as well as comments received. Documents are also accessible from Regulations.gov by searching the Docket Numbers.1,3-Butadiene; Draft Risk Evaluation Under the Toxic Substances 
Control Act (TSCA); Science Advisory Committee on Chemicals (SACC) Peer 
Review; Notice of SACC Meeting, Availability of Draft Documents and 
Request for Comment published 3 December 2024:_x000D_
https://www.govinfo.gov/content/pkg/FR-2024-12-03/html/2024-28286.htm_x000D_
https://www.govinfo.gov/content/pkg/FR-2024-12-03/pdf/2024-28286.pdf</t>
  </si>
  <si>
    <t>Proposed revision of the "Korean Pharmacopoeia"</t>
  </si>
  <si>
    <t>The Ministry of Food and Drug Safety (MFDS) of the Republic of Korea intends to revise the following provisions of the Korean Pharmacopoeia: To respond to changes in the international regulatory environment, the Korean Pharmacopoeia (KP) will be completely revised from the 12th to the 13th edition. This revision aims to ensure the distribution of quality-assured pharmaceuticals and secure competitive edge in global markets by reorganizing KP and harmonizing pharmaceutical standards and specifications internationally. A. Revisions based on international harmonization of Pharmacopoeia Discussion Group (PDG) (Appendix 1, 5 and 6 of the draft)  Replacement of "Korean Pharmacopoeia 12th edition" with "Korean Pharmacopoeia 13th edition" in Article 1.1 of General Notices (Appendix 1 of the draft) Harmonization of two methods (mass variation test for uniformity of dosage units and disintegration test for suppositories and vaginal tablets) with PDG standards (Appendix 5 of the draft)Reflection of the latest revisions to the PDG guidelines for international harmonization (Appendix 6 of the draft) B. Revision of General Notices and General Requirements for Pharmaceutical Preparations of the Korean Pharmacopoeia (Appendix 1 and 2 of the draft)C. Corrections of errors and reorganization of test methods and terminology in Monographs and General Tests (Appendix 3, 4 and 5 of the draft)Partial amendments to 28 specifications including application of a common assay to drug substances and drug products for "Cefotiam Hexetil Hydrochloride Tablets" in Part 1 Monographs (Appendix 3 of the draft) Additionof a new test method (Method2) utilizing state of the art analytical equipment for purity tests of "MumeFruit" and "Amomum Tsao-ko Fruit" to Part 2 of the Monographs (Appendix 4 of the draft) Partial amendments to 6 specifications including preparation of Ninhydrin Sodium Bisulfite solution for identification of Hydroxypropyl Starch in part 2 of the Monographs (Appendix 4 of the draft) Refinement of terminology in General Tests (Appendix 5 of the draft) D. Addition of new test methods to General Tests (Appendix 5 of the draft)  Addition of two test methods (Delivered Dose Uniformity (DDU) and Aerodynamic Particle Size Distribution (APSD) testing for inhalers) for quality control of bronchial and pulmonary preparations E. Addition of new test methods to General Information(Appendix 6 of the draft)Addition of two test methods (nucleic acid-based method and rapid microbial detection method for advanced biopharmaceuticals) for R&amp;D and quality assessment of advanced biopharmaceuticals including cell and gene therapy  Provision of Information for the management of microbial limit tests (application of water activity measurement test to non-sterile drugs) and quality control of additive ethanol (Alcoholometric Table) Addition of two test methods (standardization method for crude drugs and genetic analysis method for herbal (crude) medicines) as reference for the quality control of herbal (crude) medicines</t>
  </si>
  <si>
    <t>Pharmaceuticals</t>
  </si>
  <si>
    <r>
      <rPr>
        <sz val="11"/>
        <rFont val="Calibri"/>
      </rPr>
      <t>https://members.wto.org/crnattachments/2026/TBT/KOR/26_00150_00_x.pdf
https://members.wto.org/crnattachments/2026/TBT/KOR/26_00150_01_x.pdf
https://members.wto.org/crnattachments/2026/TBT/KOR/26_00150_02_x.pdf
https://members.wto.org/crnattachments/2026/TBT/KOR/26_00150_03_x.pdf
https://members.wto.org/crnattachments/2026/TBT/KOR/26_00150_04_x.pdf
https://members.wto.org/crnattachments/2026/TBT/KOR/26_00150_05_x.pdf
https://members.wto.org/crnattachments/2026/TBT/KOR/26_00150_06_x.pdf</t>
    </r>
  </si>
  <si>
    <t>MFDS NOTIFICATION No.2025-538, 31 December 2025</t>
  </si>
  <si>
    <t>Draft Circular Regulations on the management of aquatic animal breeds, aquatic animal feed, and products for treating the aquaculture environment</t>
  </si>
  <si>
    <t>The draft Circular was developed to complete the legal framework for the management of aquatic breeds, aquatic feed, and environmental treatment products in aquaculture, while simultaneously implementing decentralization of power and levels and administrative procedure reform in line with the orientation of draft laws amending legislation in the agricultural and environmental sectors, decrees guiding the Law on Fisheries, and Prime Ministerial decisions on cutting and simplifying administrative procedures.Accordingly, the draft focuses on shortening the processing time for several key administrative procedures; specifically: the time for granting aquatic breed export licenses is reduced from ten days to seven days, while removing the requirement for Prime Ministerial approval and decentralizing authority to the Minister; the time for granting aquatic breed import licenses is reduced from five days to four days, with no requirement to resubmit certain digitized documents, and authority is decentralized to the Chairmen of Provincial People's Committees. Similarly, the procedure for aquatic feed import licenses is also shortened from five days to four days and decentralized to the Chairmen of Provincial People's Committees.In addition, the draft reviews and amends regulations to align with the two-level local government model, unifying terminology and authority as per National Assembly resolutions and Government decrees on state apparatus reorganization. The draft also supplements and updates specialized management lists, including the List of aquatic species allowed for trading in Viet Nam, the List of aquatic species banned from export, and the List of aquatic species for conditional export; it adds regulations on naming aquatic breeds and specifies cases for the re-issuance of licenses for certain procedures.Furthermore, the draft addresses practical obstacles arising from management practice, such as adding information on aquatic breeds, updating the list of endangered, precious, and rare aquatic species of legal origin, and the list of chemicals, biological products, microorganisms, and raw materials for aquatic feed production allowed for use, thereby creating favorable conditions for fishery production and business while ensuring strict management and sustainable fishery development.</t>
  </si>
  <si>
    <t>Aquatic animal breeds, aquatic animal feed, and products for treating the aquaculture environment</t>
  </si>
  <si>
    <t>Animal diseases; Animal health; Territory protection</t>
  </si>
  <si>
    <r>
      <rPr>
        <sz val="11"/>
        <rFont val="Calibri"/>
      </rPr>
      <t>https://members.wto.org/crnattachments/2025/SPS/VNM/25_09242_00_e.pdf
https://members.wto.org/crnattachments/2025/SPS/VNM/25_09242_00_x.pdf</t>
    </r>
  </si>
  <si>
    <t>BPJPH Extends Comment for Decree of the Head of Halal Product Assurance Organizing Agency No. 77 of 2023 concerning Guidelines for implementing halal product assurance system in ruminant and poultry slaughtering </t>
  </si>
  <si>
    <t>WTO Members and their stakeholders are asked to submit comments to Indonesia WTO TBT Enquiry Point by or before 4pm Jakarta Time (UTC+7) on 16 January 2026. Comments will be responded to if submitted prior to the final comment deadline.</t>
  </si>
  <si>
    <t>Ruminant and poultry products</t>
  </si>
  <si>
    <t>65.020.30 - Animal husbandry and breeding; 65.020.30 - Animal husbandry and breeding; 67.120.10 - Meat and meat products; 67.120.10 - Meat and meat products</t>
  </si>
  <si>
    <t>BPJPH Extends Comment for Draft Decree of the Head of the Halal Product Assurance Organizing Agency (BPJPH) concerning Guidelines for the Implementation of the Halal Product Assurance System for Storage, Packaging, and Distribution Services</t>
  </si>
  <si>
    <t>WTO Members and their stakeholders are asked to submit comments to Indonesia WTO TBT Enquiry Point by or before 4pm Jakarta Time (UTC+7) on 16 January 2026. Comments will be responded to if submitted prior to the final comment deadline. </t>
  </si>
  <si>
    <t>Halal assurance system for logistics services, covering storage, packaging, and distribution services related to food, beverages, pharmaceuticals, and cosmetics</t>
  </si>
  <si>
    <t>67.020 - Processes in the food industry; 67.020 - Processes in the food industry</t>
  </si>
  <si>
    <t xml:space="preserve">Butyl Benzyl Phthalate (BBP), Dibutyl Phthalate (DBP), Dicyclohexyl Phthalate (DCHP), Diethylhexyl Phthalate (DEHP), and Diisobutyl Phthalate (DIBP); Risk Evaluation under the Toxic Substances Control Act (TSCA); Notice of Availability _x000D_
</t>
  </si>
  <si>
    <t>The Environmental Protection Agency (EPA or Agency) is announcing the availability of the final risk evaluations under the Toxic Substances Control Act (TSCA) for Butyl Benzyl Phthalate (BBP) (CARSN 85-68-7)Dibutyl Phthalate (DBP) (CASRN 84-74-2)Dicyclohexyl Phthalate (DCHP) (CASRN 84-61-7)Diethylhexyl Phthalate (DEHP) (CASRN 117-81-7), and Diisobutyl Phthalate (DIBP) (CASRN 84-69-5). The purpose of conducting risk evaluations under TSCA is to determine whether a chemical substance presents an unreasonable risk of injury to health or the environment, without consideration of costs or non-risk factors, including unreasonable risk to potentially exposed or susceptible subpopulations identified as relevant to the risk evaluation by EPA, under the conditions of use. EPA used the best available science to prepare these final risk evaluations, and determined, based on the weight of scientific evidence, that BBP, DBP, DCHP, DEHP, and DIBP pose unreasonable risk to human health and/or the environment driven by specific conditions of use. Under TSCA, EPA must initiate risk management actions to address the unreasonable risk.91 Federal Register (FR) 373, 6 January 2026:_x000D_
https://www.govinfo.gov/content/pkg/FR-2026-01-06/html/2025-24290.htm_x000D_
https://www.govinfo.gov/content/pkg/FR-2026-01-06/pdf/2025-24290.pdfThis notice of availability and a previous notice of availability notified as G/TBT/N/USA/2230 are identified by Docket Numbers EPA-HQ-OPPT-2018-0501 and EPA-HQ-OPPT-2018-0434. The Docket Folders are available on Regulations.gov at https://www.regulations.gov/docket/EPA-HQ-OPPT-2018-0501/document and https://www.regulations.gov/docket/EPA-HQ-OPPT-2018-0434/document and provide access to primary and supporting documents as well as comments received. Documents are also accessible from Regulations.gov by searching the Docket Number.</t>
  </si>
  <si>
    <t>Butyl Benzyl Phthalate (BBP) and Diisobutyl Phthalate (DIBP); Environmental protection (ICS code(s): 13.020); Production in the chemical industry (ICS code(s): 71.020); Products of the chemical industry (ICS code(s): 71.100)</t>
  </si>
  <si>
    <r>
      <rPr>
        <sz val="11"/>
        <rFont val="Calibri"/>
      </rPr>
      <t>https://members.wto.org/crnattachments/2026/TBT/USA/26_00114_00_e.pdf</t>
    </r>
  </si>
  <si>
    <t xml:space="preserve">Butyl Benzyl Phthalate (BBP), Dibutyl Phthalate (DBP), 
Dicyclohexyl Phthalate (DCHP), Diethylhexyl Phthalate (DEHP), and 
Diisobutyl Phthalate (DIBP); Risk Evaluation under the Toxic Substances 
Control Act (TSCA); Notice of Availability&gt;_x000D_
</t>
  </si>
  <si>
    <t xml:space="preserve">The Environmental Protection Agency (EPA or Agency) is announcing the availability of the final risk evaluations under the Toxic Substances Control Act (TSCA) for Butyl Benzyl Phthalate (BBP) (CARSN 85-68-7)Dibutyl Phthalate (DBP) (CASRN 84-74-2)Dicyclohexyl Phthalate (DCHP) (CASRN 84-61-7)Diethylhexyl Phthalate (DEHP) (CASRN 117-81-7), and Diisobutyl Phthalate (DIBP) (CASRN 84-69-5). The purpose of conducting risk evaluations under TSCA is to determine whether a chemical substance presents an unreasonable risk of injury to health or the environment, without consideration of costs or non-risk factors, including unreasonable risk to potentially exposed or susceptible subpopulations identified as relevant to the risk evaluation by EPA, under the conditions of use. EPA used the best available science to prepare these final risk evaluations, and determined, based on the weight of scientific evidence, that BBP, DBP, DCHP, DEHP, and DIBP pose unreasonable risk to human health and/or the environment driven by specific conditions of use. Under TSCA, EPA must initiate risk management actions to address the unreasonable risk.91 Federal Register (FR) 373, 6 January 2026:_x000D_
https://www.govinfo.gov/content/pkg/FR-2026-01-06/html/2025-24290.htm_x000D_
https://www.govinfo.gov/content/pkg/FR-2026-01-06/pdf/2025-24290.pdfThis notice of availability and the notice; request for comment notified as G/TBT/N/USA/2208 are identified by Docket Numbers EPA-HQ-OPPT-2018-0503 and EPA-HQ-OPPT-2018-0433. The Docket Folders are available on Regulations.gov at https://www.regulations.gov/docket/EPA-HQ-OPPT-2018-0503/document and https://www.regulations.gov/docket/EPA-HQ-OPPT-2018-0433/document and provide access to primary and supporting documents as well as comments received. Documents are also accessible from Regulations.gov by searching the Docket Numbers._x000D_
</t>
  </si>
  <si>
    <t>Dibutyl Phthalate (DBP) and Diethylhexyl Phthalate (DEHP); Environmental protection (ICS code(s): 13.020); Production in the chemical industry (ICS code(s): 71.020); Products of the chemical industry (ICS code(s): 71.100)</t>
  </si>
  <si>
    <r>
      <rPr>
        <sz val="11"/>
        <rFont val="Calibri"/>
      </rPr>
      <t>https://members.wto.org/crnattachments/2026/TBT/USA/26_00115_00_e.pdf</t>
    </r>
  </si>
  <si>
    <t>Draft Resolution 1367, 11 December 2025</t>
  </si>
  <si>
    <t>This draft resolution proposes a normative instruction that establishes procedures of Good Manufacturing Practices for establishments that produce edible ice cream.</t>
  </si>
  <si>
    <r>
      <rPr>
        <sz val="11"/>
        <rFont val="Calibri"/>
      </rPr>
      <t>https://members.wto.org/crnattachments/2026/SPS/BRA/26_00090_00_x.pdf
Draft: https://anvisalegis.datalegis.net/action/UrlPublicasAction.php?acao=abrirAtoPublico&amp;num_ato=00001367&amp;sgl_tipo=CPB&amp;sgl_orgao=ANVISA/MS&amp;vlr_ano=2025&amp;seq_ato=222&amp;cod_modulo=134&amp;cod_menu=1696
Comment form:  https://pesquisa.anvisa.gov.br/index.php/928252?lang=pt-BR</t>
    </r>
  </si>
  <si>
    <t>Draft Resolution 1348, 22 August 2025</t>
  </si>
  <si>
    <t>Draft Resolution 1348, 22 August 2025 - previously notified through G/SPS/N/BRA/2434 - was adopted as Normative Instruction 420, 19 December 2025. The regulation updates 35 Monographs of Active Ingredients of Pesticides, Sanitizing Disinfestants and Wood Preservatives, published through Normative Instruction 103 on 19 October 2021 in the Brazilian Official Gazette (DOU - Diário Oficial da União).</t>
  </si>
  <si>
    <r>
      <rPr>
        <sz val="11"/>
        <rFont val="Calibri"/>
      </rPr>
      <t>https://members.wto.org/crnattachments/2026/SPS/BRA/26_00103_00_x.pdf
The final text is available only in Portuguese and can be downloaded at: 
https://anvisalegis.datalegis.net/action/UrlPublicasAction.php?acao=abrirAtoPublico&amp;num_ato=00000420&amp;sgl_tipo=INM&amp;sgl_orgao=DC/ANVISA/MS&amp;vlr_ano=2025&amp;seq_ato=000&amp;cod_modulo=134&amp;cod_menu=1696</t>
    </r>
  </si>
  <si>
    <t>Draft MOPH Notification (No. …) B.E. ...., entitled “The Labeling of Pre-packaged Foods(No. 2)”</t>
  </si>
  <si>
    <t>This draft notification of the Ministry of Public Health (MOPH) (No. …) B.E. .... issued by virtue of the Food Act B.E. 2522 Re: "The Labeling of Pre-packaged foods" (No. 2) amends the details of labelling requirements of the Notification of MOPH (No. 450) Re: "The Labeling of Pre-packaged foods". a. Exemptions for direct sales: Food sold directly to consumers where information can be provided at the point of sale (e.g., hawkers, food stalls, or e-commerce) is generally exempt from standard labeling requirements. This exemption does not apply to food additive, food for Infants, and food for infants with specific medical needs,food of follow up formula for infant in the age of six to twelve months, and food for young children,supplementary food for infants and young children, food with specific purposes and other foods, dietary supplement, food products fortified with extracts, nutrients, or synthetic compounds,other foods designated by notification of the ministry of public health specifically for the display of warningsb. Allergen information: Addition of four allergen items: sesame and products thereof, celery and products thereof, mustard and products thereof, and lupin and products thereof. Labels must clearly state "Information for food allergy: contains..." for ingredients or "Information for food allergy: may contain..." for potential cross-contamination. Exclude lactose from the allergen declaration.c. Food additive information: Exception is made in the case of food additives with more than one function; other functions may be displayed as necessary based on their technological needs, provided that the quantity used is in accordance with the purpose of those functions. Additionally, the display of functional classes is exempted for carriers and packaging gases.d. Digital labeling: Producers may use digital labels to provide food information, provided the system is continuously accessible and maintained. Essential details, for example, the food name, serial number, manufacturer address, and allergen information, must still be physically displayed on the container. A voluntary digital labeling measure is established for food products excluding the following seven categories: food for infants, and food for infants with specific medical needs, food of follow up formula for infant in the age of six to twelve months, and food for young children, supplementary food for infants and young children, food with specific purposes and other foods, dietary supplement, food products fortified with extracts, nutrients, or synthetic compounds.e.The labeling of food composed in a container. Containers holding multiple food items (e.g., gift baskets or monk offerings) must have a Thai label listing all items, the earliest expiration date among them, and warnings if products might react harmfully with one another. f. Transition period: Labels that do not comply with these new regulations may still be used for up to three years after the notification becomes effective.</t>
  </si>
  <si>
    <t>Pre‑packaged foods (ICS code: 67.230)</t>
  </si>
  <si>
    <t>Labelling; Human health; Food safety</t>
  </si>
  <si>
    <t>The day following the date of its publication in the Government Gazette.</t>
  </si>
  <si>
    <r>
      <rPr>
        <sz val="11"/>
        <rFont val="Calibri"/>
      </rPr>
      <t>https://members.wto.org/crnattachments/2026/SPS/THA/26_00130_00_e.pdf
https://members.wto.org/crnattachments/2026/SPS/THA/26_00130_00_x.pdf</t>
    </r>
  </si>
  <si>
    <t>Final report of the Import Risk Analysis for tilapia-derived products intended for human consumption</t>
  </si>
  <si>
    <t>The final report of the risk analysis for the importation into Brazil of tilapia products for human consumption, considering “tilapia lake virus” as the main hazard, is hereby published.</t>
  </si>
  <si>
    <t>Tilapia-derived products</t>
  </si>
  <si>
    <t>Human health; Food safety; Animal health; Animal diseases; Adoption/publication/entry into force of reg.; Territory protection; Food safety; Territory protection; Animal health; Human health; Animal diseases</t>
  </si>
  <si>
    <r>
      <rPr>
        <sz val="11"/>
        <rFont val="Calibri"/>
      </rPr>
      <t>https://members.wto.org/crnattachments/2026/SPS/BRA/26_00106_00_x.pdf</t>
    </r>
  </si>
  <si>
    <t>“Propuesta de Eliminación del Artículo 305, Modificación del Artículo 309 e Inclusión del Nuevo Artículo 275 Bis - Reglamento Sanitario de los Alimentos, Decreto Supremo N°977/96 del Ministerio de Salud”</t>
  </si>
  <si>
    <t>The notified proposed amendment to the Food Health Regulations defines a category within meat products referred to as "fiambre de" (cold cuts). To date, the Food Health Regulations only mention the term "fiambre" in Article 305, which specifies the designation "fiambre de jamón" (cold cuts of ham) without providing further details on the ingredients these products may contain or defining them as such.In preparing the proposed regulatory amendment, consideration was given to the Codex Alimentarius documents, Standard for Luncheon Meat, CXS 89-1981, and Standard for Cooked Cured Ham, CXS 96-198, as well as to Royal Decree No. 474/2014 of Spain, which establishes quality requirements for meat products.</t>
  </si>
  <si>
    <r>
      <rPr>
        <sz val="11"/>
        <rFont val="Calibri"/>
      </rPr>
      <t>https://members.wto.org/crnattachments/2026/TBT/CHL/26_00137_00_e.pdf</t>
    </r>
  </si>
  <si>
    <t>Reglamento Sanitario de los Alimentos (RSA), Decreto Supremo N° 977/1996, del Ministerio de Salud.G/TBT/N/CHL/773- 2 -</t>
  </si>
  <si>
    <t>Draft phytosanitary requirements for the importation into Mexico of tobacco (Nicotiana tabacum) seeds for sowing, originating in and coming from Zimbabwe.</t>
  </si>
  <si>
    <t>The notified draft phytosanitary requirements governing the importation into Mexico of tobacco (Nicotiana tabacum) seeds for sowing, originating in and coming from Zimbabwe, were determined by SENASICA, pursuant to the Agreement on the Application of Sanitary and Phytosanitary Measures.</t>
  </si>
  <si>
    <t>Tobacco (Nicotiana tabacum) seeds for sowing</t>
  </si>
  <si>
    <t>Pests; Plant health; Territory protection</t>
  </si>
  <si>
    <t>Zimbabwe</t>
  </si>
  <si>
    <r>
      <rPr>
        <sz val="11"/>
        <rFont val="Calibri"/>
      </rPr>
      <t>https://members.wto.org/crnattachments/2026/SPS/MEX/26_00121_00_s.pdf
https://www.gob.mx/senasica/documentos/consulta-publica-de-requisitos-fitosanitarios</t>
    </r>
  </si>
  <si>
    <t>Reglamento Técnico TECNOLOGÍA DE LOS ALIMENTOS. PRODUCTOS CÁRNICOS. CARNE DE CERDO Y SUS DERIVADOS. ESPECIFICACIONES (Technical Regulations: Food Technology. Meat products. Meat of swine and products thereof. Specifications).</t>
  </si>
  <si>
    <t>The purpose of the notified Technical Regulations is to establish the following:• Technical Regulations: Food Technology. Meat products. Meat of swine and products thereof. Specifications (17 pages, in Spanish)The purpose of the notified Technical Regulations is to regulate sanitary aspects of the preparation of meat of swine and products thereof, both of national origin and imported, as well as their storage, distribution, sale and transport, in different establishments in the country, and to establish the safety-related requirements, conditions and sanitary measures that must be met.</t>
  </si>
  <si>
    <t>Meat and meat products (ICS code(s): 67.120.10)</t>
  </si>
  <si>
    <t>16024 - - Of swine:; 02101 - - Meat of swine:; 0206 - Edible offal of bovine animals, swine, sheep, goats, horses, asses, mules or hinnies, fresh, chilled or frozen; 0203 - Meat of swine, fresh, chilled or frozen</t>
  </si>
  <si>
    <r>
      <rPr>
        <sz val="11"/>
        <rFont val="Calibri"/>
      </rPr>
      <t>https://members.wto.org/crnattachments/2026/SPS/PAN/26_00101_00_s.pdf</t>
    </r>
  </si>
  <si>
    <t>Draft Circular on Amending and Supplementing certain Articles of Circulars on the Management of Veterinary Drugs</t>
  </si>
  <si>
    <t>The Circular amending and supplementing some articles of the Circulars regulating the management of veterinary drugs was developed with the goal of reducing and simplifying administrative procedures related to the production and business of veterinary drugs and raw materials, creating favorable conditions for businesses to simplify documentation, save costs, and shorten the time for administrative procedures.</t>
  </si>
  <si>
    <t>Veterinary drugs</t>
  </si>
  <si>
    <t>Effective immediately upon issuance.</t>
  </si>
  <si>
    <r>
      <rPr>
        <sz val="11"/>
        <rFont val="Calibri"/>
      </rPr>
      <t>https://members.wto.org/crnattachments/2025/SPS/VNM/25_09243_00_x.pdf
https://members.wto.org/crnattachments/2025/SPS/VNM/25_09243_00_e.pdf</t>
    </r>
  </si>
  <si>
    <t>Draft Resolution 1243, 20 March 2024</t>
  </si>
  <si>
    <t>Draft Resolution 1243, 20 March 2024 - previously notified through  G/SPS/N/BRA/2267 - was adopted as Normative Instruction 414, 17 December 2025. The regulation establishes composition and quality requirements, content and nutritional claims and list of authorized constituents for infant formulas, transitional foods and cereal-based foods for infants and young children, formulas for enteral nutrition and diet therapy formulas for inborn errors of metabolism.</t>
  </si>
  <si>
    <t>190110 - Food preparations for infant use, put up for retail sale, of flour, groats, meal, starch or malt extract, not containing cocoa or containing &lt; 40% by weight of cocoa calculated on a totally defatted basis, n.e.s. and of milk, sour cream, whey, yogurt, kephir or similar goods of heading 0401 to 0404, not containing cocoa or containing &lt; 5% by weight of cocoa calculated on a totally defatted basis, n.e.s.; 190110 - Food preparations for infant use, put up for retail sale, of flour, groats, meal, starch or malt extract, not containing cocoa or containing &lt; 40% by weight of cocoa calculated on a totally defatted basis, n.e.s. and of milk, sour cream, whey, yogurt, kephir or similar goods of heading 0401 to 0404, not containing cocoa or containing &lt; 5% by weight of cocoa calculated on a totally defatted basis, n.e.s.</t>
  </si>
  <si>
    <r>
      <rPr>
        <sz val="11"/>
        <rFont val="Calibri"/>
      </rPr>
      <t>https://members.wto.org/crnattachments/2026/SPS/BRA/26_00105_00_x.pdf
The final text is available only in Portuguese and can be downloaded at: 
https://anvisalegis.datalegis.net/action/UrlPublicasAction.php?acao=abrirAtoPublico&amp;num_ato=00000414&amp;sgl_tipo=INM&amp;sgl_orgao=DC/ANVISA/MS&amp;vlr_ano=2025&amp;seq_ato=000&amp;cod_modulo=134&amp;cod_menu=1696</t>
    </r>
  </si>
  <si>
    <t>Reglamento Técnico TECNOLOGÍA DE LOS ALIMENTOS. FRUTAS Y HORTALIZAS FRESCAS. PIÑA. ESPECIFICACIONES (Technical Regulations: Food Technology. Fresh fruit and vegetables. Pineapple. Specifications.)</t>
  </si>
  <si>
    <t>The purpose of the notified Technical Regulations is to establish the following:• Technical Regulations: Food Technology. Fresh fruit and vegetables. Pineapple. Specifications (10 pages, in Spanish)The purpose of the notified Technical Regulations is to establish the general, quality and safety requirements that pineapples (Ananas comosus (L.)) must meet to be consumed fresh, marketed and/or used as a raw ingredient for industrial processing.</t>
  </si>
  <si>
    <t>Fruits, vegetables and derived products in general (ICS code: 67.080.01)</t>
  </si>
  <si>
    <t>67.080.01 - Fruits, vegetables and derived products in general</t>
  </si>
  <si>
    <r>
      <rPr>
        <sz val="11"/>
        <rFont val="Calibri"/>
      </rPr>
      <t>https://members.wto.org/crnattachments/2026/SPS/PAN/26_00085_00_s.pdf</t>
    </r>
  </si>
  <si>
    <t>Technical Regulations: Food Technology. PRODUCTOS LÁCTEOS. EVALUACIÓN DE LA CONFORMIDAD (Technical Regulations: Food technology. Milk products. Conformity assessment)</t>
  </si>
  <si>
    <t>The purpose of the notified Technical Regulations is to establish the following:• Technical Regulations: Food Technology. Milk products. Conformity assessment (8 pages, in Spanish)The purpose of the notified Technical Regulations is to establish the conformity assessment procedures applicable to milk products, in order to verify compliance with the current Technical Regulations, to protect consumer health, and to guarantee fair trade practices in the territory of Panama.</t>
  </si>
  <si>
    <t>Milk and milk products (ICS code: 67.100)</t>
  </si>
  <si>
    <t>67.100 - Milk and milk products</t>
  </si>
  <si>
    <r>
      <rPr>
        <sz val="11"/>
        <rFont val="Calibri"/>
      </rPr>
      <t>https://members.wto.org/crnattachments/2026/SPS/PAN/26_00097_00_s.pdf</t>
    </r>
  </si>
  <si>
    <t>Reglamento Técnico TECNOLOGÍA DE LOS ALIMENTOS. PRODUCTOS CÁRNICOS. PRODUCTOS CÁRNICOS ELABORADOS. ESPECIFICACIONES. (Technical Regulations: Food Technology. Meat products. Processed meat products. Specifications).</t>
  </si>
  <si>
    <t>The purpose of the notified Technical Regulations is to establish the following:• Technical Regulations: Food Technology. Meat products. Processed meat products. Specifications (21 pages, in Spanish)The notified Technical Regulations establish the specifications that must be met by processed meat products, including poultry products.</t>
  </si>
  <si>
    <r>
      <rPr>
        <sz val="11"/>
        <rFont val="Calibri"/>
      </rPr>
      <t>https://members.wto.org/crnattachments/2026/SPS/PAN/26_00100_00_s.pdf</t>
    </r>
  </si>
  <si>
    <t>Draft MOPH Notification (No. …) B.E. ...., entitled "The Labeling of Pre-packaged Foods(No. 2)"</t>
  </si>
  <si>
    <t>This draft notification of the Ministry of Public Health (MOPH) (No. …) B.E. .... issued by virtue of the Food Act B.E. 2522 Re: "The Labeling of Pre-packaged foods" (No. 2) amends the details of labeling requirements of the Notifications of MOPH (No.450) Re: "The Labeling of Pre-packaged foods".a. Exemptions for direct sales: Food sold directly to consumers where information can be provided at the point of sale (e.g., hawkers, food stalls, or e-commerce) is generally exempt from standard labeling requirements. This exemption does not apply to food additive, food for Infants, and food for infants with specific medical needs,food of follow up formula for infant in the age of six to twelve months, and food for young children,supplementary food for infants and young children, food with specific purposes and other foods, dietary supplement, food products fortified with extracts, nutrients, or synthetic compounds,other foods designated by notification of the ministry of public health specifically for the display of warningsb. Allergen information: Addition of 4 allergen items: sesame and products thereof, celery and products thereof, mustard and products thereof, and lupin and products thereof. Labels must clearly state "Information for food allergy: contains..." for ingredients or "Information for food allergy: may contain..." for potential cross-contamination. Exclude lactose from the allergen declaration.c. Food additive informationException is made in the case of food additives with more than one function; other functions may be displayed as necessary based on their technological needs, provided that the quantity used is in accordance with the purpose of those functions. Additionally, the display of functional classes is exempted for carriers and packaging gases.d. Digital labeling: Producers may use digital labels to provide food information, provided the system is continuously accessible and maintained. Essential details, for example, the food name, serial number, manufacturer address, and allergen information, must still be physically displayed on the container. A voluntary digital labeling measure is established for food products excluding the following 7 categories; food for infants, and food for infants with specific medical needs, food of follow up formula for infant in the age of six to twelve months, and food for young children, supplementary food for infants and young children, food with specific purposes and other foods, dietary supplement, food products fortified with extracts, nutrients, or synthetic compounds.e. The labeling of food composed in a container. Containers holding multiple food items (e.g., gift baskets or monk offerings) must have a Thai label listing all items, the earliest expiration date among them, and warnings if products might react harmfully with one another.f. Transition period: Labels that do not comply with these new regulations may still be used for up to three years after the notification becomes effective.</t>
  </si>
  <si>
    <t>Pre-packaged foods (ICS code: 67.230)</t>
  </si>
  <si>
    <t>The day following the date of its publication in the Government Gazette</t>
  </si>
  <si>
    <r>
      <rPr>
        <sz val="11"/>
        <rFont val="Calibri"/>
      </rPr>
      <t>https://members.wto.org/crnattachments/2026/TBT/THA/26_00132_00_e.pdf
https://members.wto.org/crnattachments/2026/TBT/THA/26_00132_00_x.pdf</t>
    </r>
  </si>
  <si>
    <t>The notification of the Ministry of Public Health (No. 450) B.E 2567 (2024) entitled "Labeling of pre-packaged foods " as notified G/SPS/N/THA/583/Add.1/Corr.1 dated 15 October 2024The notification of the Ministry of Public Health entitled "Labelling of food composed in a container, dated 14th December B.E. 2553 (2010)"</t>
  </si>
  <si>
    <t>Reglamento Técnico TECNOLOGÍA DE LOS ALIMENTOS. CEREALES, GRANOS Y HARINAS. ARROZ PILADO BLANCO FORTIFICADO. ESPECIFICACIONES (Technical Regulations: Food Technology. Cereals, grains and flours. Fortified milled white rice. Specifications)</t>
  </si>
  <si>
    <t>The purpose of the notified Technical Regulations is to establish the following:• Technical Regulations: Food Technology. Cereals, grains and flours. Fortified milled white rice. Specifications (21 pages, in Spanish)The purpose of the notified Technical Regulations is to establish quality requirements and fortification levels for the marketing of fortified milled white rice (Oryza sativa).</t>
  </si>
  <si>
    <t>Cereals, pulses and derived products (ICS code: 67.060)</t>
  </si>
  <si>
    <r>
      <rPr>
        <sz val="11"/>
        <rFont val="Calibri"/>
      </rPr>
      <t>https://members.wto.org/crnattachments/2026/SPS/PAN/26_00051_00_s.pdf</t>
    </r>
  </si>
  <si>
    <t>Draft Circular Amendments and additions to certain articles of Circular No. 25/2018/TT-BNNPTNT dated 15 November 2018, issued by the Minister of Agriculture and Rural Development, guiding the risk assessment and licensing of imported live aquatic products</t>
  </si>
  <si>
    <t>The draft Circular is developed to streamline and simplify administrative procedures, resolve practical bottlenecks, and enhance the validity and efficiency of state management regarding risk assessment and licensing for the import of live aquatic products, in alignment with the administrative reform policy of the Ministry of Agriculture and Environment.Accordingly, the Draft focuses on shortening the processing time for administrative procedures: the timeframe for issuing or reissuing live aquatic product import permits is reduced from 35 to 30 days for cases requiring risk assessment, and from 12 to nine days for cases not requiring risk assessment; notably, the timeframe for reissuing permits is significantly reduced from five days to two days. Furthermore, the Draft amends application requirements to promote electronic submissions, permitting the use of scanned copies of original documents to reduce costs for organizations and individuals, and waiving the requirement for certain documents if they are accessible via specialized databases.In addition, the Draft addresses several inadequacies arising from practical management. This includes standardizing the nomenclature of regulatory bodies in accordance with the new organizational model (replacing the "General Department of Fisheries" with the "Fisheries and Fisheries Inspection Department"; and the "Ministry of Agriculture and Rural Development" with the "Ministry of Agriculture and Environment"). It also replaces all forms issued under Circular No. 25/2018/TT-BNNPTNT to ensure consistency and ease of implementation.Moreover, the Draft amends and supplements certain provisions of Circular No. 01/2022/TT-BNNPTNT, such as expanding the scope of adjustments on permits, introducing hybrid (in-person and online) council meetings, and repealing obsolete regulations. These changes aim to facilitate the importation of live aquatic products and promote the sustainable development of the fisheries sector.</t>
  </si>
  <si>
    <t>Live aquatic animals and live aquatic products</t>
  </si>
  <si>
    <r>
      <rPr>
        <sz val="11"/>
        <rFont val="Calibri"/>
      </rPr>
      <t>https://members.wto.org/crnattachments/2025/SPS/VNM/25_09241_00_e.pdf
https://members.wto.org/crnattachments/2025/SPS/VNM/25_09241_00_x.pdf</t>
    </r>
  </si>
  <si>
    <t>Reglamento Técnico TECNOLOGÍA DE LOS ALIMENTOS. PRODUCTOS LÁCTEOS. LECHE CONDENSADA. ESPECIFICACIONES (Technical Regulations: Food technology. Milk products. Condensed milk. Specifications)</t>
  </si>
  <si>
    <t>The purpose of the notified Technical Regulations is to establish the following:• Technical Regulations: Food technology. Milk products. Condensed milk. Specifications; (8 pages, in Spanish)The notified Technical Regulations define the characteristics that condensed milk must meet after undergoing appropriate heat treatment to ensure its preservation in hermetically sealed containers, in accordance with the definitions set out in Section 4 of these Technical Regulations.</t>
  </si>
  <si>
    <t>0402 - Milk and cream, concentrated or containing added sugar or other sweetening matter; 0401 - Milk and cream, not concentrated nor containing added sugar or other sweetening matter</t>
  </si>
  <si>
    <r>
      <rPr>
        <sz val="11"/>
        <rFont val="Calibri"/>
      </rPr>
      <t>https://members.wto.org/crnattachments/2026/SPS/PAN/26_00036_00_s.pdf</t>
    </r>
  </si>
  <si>
    <t>Reglamento Técnico TECNOLOGÍA DE LOS ALIMENTOS. CEREALES, GRANOS Y HARINAS. ARROZ EN CÁSCARA. ESPECIFICACIONES. (Technical Regulations: Food technology. Cereals, grains and flours. Rice in the husk. Specifications)</t>
  </si>
  <si>
    <t>The purpose of the notified Technical Regulations is to establish the following:• Technical Regulations: Food Technology. Cereals, grains and flours. Rice in the husk. Specifications (17 pages, in Spanish)The notified Technical Regulations establish the quality requirements that rice in the husk (Oryza sativa) must meet.</t>
  </si>
  <si>
    <t>100610 - Rice in the husk, "paddy" or rough</t>
  </si>
  <si>
    <r>
      <rPr>
        <sz val="11"/>
        <rFont val="Calibri"/>
      </rPr>
      <t>https://members.wto.org/crnattachments/2026/SPS/PAN/26_00049_00_s.pdf</t>
    </r>
  </si>
  <si>
    <t xml:space="preserve">The Environmental Protection Agency (EPA or Agency) is announcing the availability of the final risk evaluations under the Toxic Substances Control Act (TSCA) for Butyl Benzyl Phthalate (BBP) (CARSN 85-68-7)Dibutyl Phthalate (DBP) (CASRN 84-74-2)Dicyclohexyl Phthalate (DCHP) (CASRN 84-61-7)Diethylhexyl Phthalate (DEHP) (CASRN 117-81-7), and Diisobutyl Phthalate (DIBP) (CASRN 84-69-5). The purpose of conducting risk evaluations under TSCA is to determine whether a chemical substance presents an unreasonable risk of injury to health or the environment, without consideration of costs or non-risk factors, including unreasonable risk to potentially exposed or susceptible subpopulations identified as relevant to the risk evaluation by EPA, under the conditions of use. EPA used the best available science to prepare these final risk evaluations, and determined, based on the weight of scientific evidence, that BBP, DBP, DCHP, DEHP, and DIBP pose unreasonable risk to human health and/or the environment driven by specific conditions of use. Under TSCA, EPA must initiate risk management actions to address the unreasonable risk.91 Federal Register (FR) 373, 6 January 2026:_x000D_
https://www.govinfo.gov/content/pkg/FR-2026-01-06/html/2025-24290.htm_x000D_
https://www.govinfo.gov/content/pkg/FR-2026-01-06/pdf/2025-24290.pdfThis notice of availability and previous actions notified under the symbol G/TBT/N/USA/2176 are identified by Docket Number EPA-HQ-OPPT-2018-0504. The Docket Folder is available on Regulations.gov at https://www.regulations.gov/docket/EPA-HQ-OPPT-2018-0504/document and provides access to primary and supporting documents as well as comments received. Documents are also accessible from Regulations.gov by searching the Docket Number. _x000D_
</t>
  </si>
  <si>
    <t>Dicyclohexyl phthalate (DCHP) (1,2-benzenedicarboxylic acid, 1,2-
dicyclohexyl ester) (CASRN 84-61-7); Environmental protection (ICS code(s): 13.020); Production in the chemical industry (ICS code(s): 71.020); Products of the chemical industry (ICS code(s): 71.100)</t>
  </si>
  <si>
    <r>
      <rPr>
        <sz val="11"/>
        <rFont val="Calibri"/>
      </rPr>
      <t>https://members.wto.org/crnattachments/2026/TBT/USA/26_00116_00_e.pdf</t>
    </r>
  </si>
  <si>
    <t>(Draft) Notification of the Ministry of Public Health (No. ....) B.E. .... Issued by virtue of the Food Act B.E. 2522 (1979) Re: Goat Milk and Flavored Goat Milk</t>
  </si>
  <si>
    <t>Thailand’s Food and Drug Administration (Thai FDA) is proposing a draft notification to establish specific standards for the regulation of quality, safety, and labeling. This notification prescribes definitions, sterilization processes, quality and composition standards, microbiological safety requirements, labeling requirements, and other related criteria to ensure consumer protection and to elevate product quality to meet acceptable consumption standards.Manufacturers or importers of goat milk and flavored goat milk previously authorized under the Notification on Beverages in Hermetically Sealed Containers must comply with this notification within two years from the effective date.</t>
  </si>
  <si>
    <t>Milk and milk product (ICS code: 67.100)</t>
  </si>
  <si>
    <r>
      <rPr>
        <sz val="11"/>
        <rFont val="Calibri"/>
      </rPr>
      <t>https://members.wto.org/crnattachments/2026/TBT/THA/26_00133_00_x.pdf
https://members.wto.org/crnattachments/2026/TBT/THA/26_00133_00_e.pdf</t>
    </r>
  </si>
  <si>
    <t>Refer to all Notifications of the Ministry of Public Health indicated above in the section of Description of Content which are available in Thai and English and can be retrieved at https://food.fda.moph.go.th/food-law/category/announcement-of-the-ministry-of-public-health-1</t>
  </si>
  <si>
    <t>Analog Telecommunications Relay Service Modernization</t>
  </si>
  <si>
    <t>Proposed rule - In this document, the Federal Communications Commission (Commission) proposes to modernize its telecommunications relay services (TRS) rules and seeks comment on phasing out the mandatory status of traditional TTY-based relay services (TTY Relay) under state TRS programs; recognizing additional forms of internet-based TRS, such as internet Protocol Speech-to-Speech (IP STS) and real-time text (RTT)-based relay as compensable forms of TRS; establishing a temporary, national certification process for analog relay providers and user registration and verification requirements; and updating or eliminating obsolete rules to all forms of TRS. Through these proposals, the Commission aims to align TRS with today's communications landscape, better serve the needs of relay users, ensure the continued availability of TRS through the transition from legacy communications network, to modern, IP-based networks, and continue to protect the integrity of the TRS program through the prevention of waste, fraud, and abuse.</t>
  </si>
  <si>
    <t>Telecommunications relay services (TRS); Quality (ICS code(s): 03.120); Telecommunication services. Applications (ICS code(s): 33.030); Telecommunication systems (ICS code(s): 33.040); Telecommunication terminal equipment (ICS code(s): 33.050)</t>
  </si>
  <si>
    <t>03.120 - Quality; 33.030 - Telecommunication services. Applications; 33.040 - Telecommunication systems; 33.050 - Telecommunication terminal equipment</t>
  </si>
  <si>
    <r>
      <rPr>
        <sz val="11"/>
        <rFont val="Calibri"/>
      </rPr>
      <t>https://members.wto.org/crnattachments/2026/TBT/USA/26_00144_00_e.pdf
https://members.wto.org/crnattachments/2026/TBT/USA/26_00144_01_e.pdf</t>
    </r>
  </si>
  <si>
    <t>91 Federal Register (FR) 104, 2 January 2026; Title 47 Code of Federal Regulations (CFR) Part 64_x000D_
https://www.govinfo.gov/content/pkg/FR-2026-01-02/html/2025-24210.htm_x000D_
https://www.govinfo.gov/content/pkg/FR-2026-01-02/pdf/2025-24210.pdfhttps://docs.fcc.gov/public/attachments/FCC-25-79A1.pdfThis proposed rule is identified by CG Docket Nos. 03-12308-15FCC 25-79 and provides access to associated documents. The full text of the proposed rule is available from the Commission's website at https://docs.fcc.gov/public/attachments/FCC-25-79A1.pdf. Documents are also accessible from the FCC's Electronic Document Management System (EDOCS) by searching the Docket Number.</t>
  </si>
  <si>
    <t>Draft Resolution 1360, 5 December 2025</t>
  </si>
  <si>
    <t>This draft resolution proposes a Normative Instruction to update 21 monographs on the list of active ingredients in the Monograph List of Active Ingredients for Pesticides, Household Cleaning Products and Wood Preservatives, which was published by Normative Instruction 103 on 19 October 2021 in the Brazilian Official Gazette (DOU - Diário Oficial da União).</t>
  </si>
  <si>
    <r>
      <rPr>
        <sz val="11"/>
        <rFont val="Calibri"/>
      </rPr>
      <t>https://members.wto.org/crnattachments/2026/SPS/BRA/26_00091_00_x.pdf
Draft: https://anvisalegis.datalegis.net/action/UrlPublicasAction.php?acao=abrirAtoPublico&amp;num_ato=00001360&amp;sgl_tipo=CPB&amp;sgl_orgao=ANVISA/MS&amp;vlr_ano=2025&amp;seq_ato=222&amp;cod_modulo=134&amp;cod_menu=1696
Comment form: https://pesquisa.anvisa.gov.br/index.php/843128?lang=pt-BR</t>
    </r>
  </si>
  <si>
    <r>
      <rPr>
        <sz val="11"/>
        <rFont val="Calibri"/>
      </rPr>
      <t>https://members.wto.org/crnattachments/2026/SPS/THA/26_00131_00_e.pdf
https://members.wto.org/crnattachments/2026/SPS/THA/26_00131_00_x.pdf</t>
    </r>
  </si>
  <si>
    <t>Draft Resolution 1349, 9 September 2025</t>
  </si>
  <si>
    <t>Draft Resolution 1349, 9 September 2025 - previously notified through  G/SPS/N/BRA/2430 - was adopted as Normative Instruction 417, 17 December 2025. The regulation changes the item referring to toxicological characteristics and includes the subcode T84.2 - Hydroalcoholic Extract of Thymus Vulgaris in the monograph T84 - Thymus Vulgaris on the Monograph List of Active Ingredients for Pesticides, Household Cleaning Products and Wood Preservatives, which was published by Normative Instruction 103 on 19 October 2021 in the Brazilian Official Gazette (DOU - Diário Oficial da União).</t>
  </si>
  <si>
    <r>
      <rPr>
        <sz val="11"/>
        <rFont val="Calibri"/>
      </rPr>
      <t>https://members.wto.org/crnattachments/2026/SPS/BRA/26_00104_00_x.pdf
The final text is available only in Portuguese and can be downloaded at: 
https://anvisalegis.datalegis.net/action/UrlPublicasAction.php?acao=abrirAtoPublico&amp;num_ato=00000417&amp;sgl_tipo=INM&amp;sgl_orgao=DC/ANVISA/MS&amp;vlr_ano=2025&amp;seq_ato=000&amp;cod_modulo=134&amp;cod_menu=1696</t>
    </r>
  </si>
  <si>
    <t>Draft for the Use Restrictions and Labeling Requirements of Inulin Produced by Fructosyltransferase as a Food Ingredient</t>
  </si>
  <si>
    <t>This draft regulation specifies the use restrictions and labeling requirements for the inulin produced by fructosyltransferase (derived from Bacillus sp. strain 217C-11) for food purposes.</t>
  </si>
  <si>
    <r>
      <rPr>
        <sz val="11"/>
        <rFont val="Calibri"/>
      </rPr>
      <t>https://members.wto.org/crnattachments/2026/TBT/TPKM/26_00124_00_x.pdf
https://members.wto.org/crnattachments/2026/TBT/TPKM/26_00124_00_e.pdf</t>
    </r>
  </si>
  <si>
    <t>Act Governing Food Safety and Sanitation</t>
  </si>
  <si>
    <t>Reglamento Técnico TECNOLOGÍA DE LOS ALIMENTOS. FRUTAS Y HORTALIZAS FRESCAS. EVALUACIÓN DE LA CONFORMIDAD (Technical Regulations: Food Technology. Fresh fruit and vegetables. Conformity assessment.)</t>
  </si>
  <si>
    <t>The purpose of the notified Technical Regulations is to establish the following:• Technical Regulations: Food Technology. Fresh fruit and vegetables. Conformity assessment (9 pages, in Spanish)The purpose of the notified Technical Regulations is to establish the conformity assessment procedures applicable to fruit and vegetables, in order to verify compliance with the current Technical Regulations, to protect consumer health, and to guarantee fair trade practices in the territory of Panama.</t>
  </si>
  <si>
    <t>Fruits. Vegetables (ICS code: 67.080)</t>
  </si>
  <si>
    <t>08 - EDIBLE FRUIT AND NUTS; PEEL OF CITRUS FRUIT OR MELONS; 07 - EDIBLE VEGETABLES AND CERTAIN ROOTS AND TUBERS</t>
  </si>
  <si>
    <r>
      <rPr>
        <sz val="11"/>
        <rFont val="Calibri"/>
      </rPr>
      <t>https://members.wto.org/crnattachments/2026/SPS/PAN/26_00086_00_s.pdf</t>
    </r>
  </si>
  <si>
    <t>Draft Thai Agricultural Standard entitled "Peanut kernel: Maximum level of aflatoxin"</t>
  </si>
  <si>
    <t>The "ACFS Notification concerning the List of International Standards Conforming to Mandatory Standards, dated 3 April 2020 (B.E. 2563)" has been repealed and replaced by the "ACFS Notification concerning the List of International Standards conforming to Mandatory Standards, dated 27 November 2025 (B.E. 2568)" following its consideration and acceptance of one additional international standard, namely "the Global standard for Food Safety Issue 9", which conforms with the requirements set out in the ACFS Notification regarding Peanut Kernel: Maximum Level of Aflatoxin.Therefore, the international standards conforming to the Ministerial Regulation on the Establishment of Thai Agricultural Standard on Peanut Kernel: Maximum Level of Aflatoxin as mandatory standard B.E. 2558 (2015) are as follows:1. The system standards or production system standards, namely:1.1. Good Manufacturing Practice (GMP) complied with Codex General Principles of Food Hygiene or equivalent;1.2. Hazards Analysis and Critical Control Point System (HACCP) complied with Codex General Principles of Food Hygiene or equivalent;1.3. Food Safety Management System (FSMS) complied with ISO/IEC 22000;1.4. Global standard for Food Safety Issue 9. British Retail Consortium;2. Aflatoxin analytical standards established by a national organization or international organizations such as Codex Alimentarius (Codex), International Organization for Standardization (ISO), AOAC International (AOAC) or analytical methods published in manual or international journals or analytical methods with the validation results obtained through the acknowledge procedures.This notification shall come into force on the date of its announcement (27 November 2025)</t>
  </si>
  <si>
    <t>Peanut (HS Code: 1202; ICS Code: 67.060)</t>
  </si>
  <si>
    <t>1202 - Ground-nuts, whether or not shelled or broken (excl. roasted or otherwise cooked); 1202 - Ground-nuts, whether or not shelled or broken (excl. roasted or otherwise cooked)</t>
  </si>
  <si>
    <t>Contaminants; Aflatoxins; Food safety; Human health; Maximum residue limits (MRLs); Modification of content/scope of regulation; Mycotoxins; Toxins; Maximum residue limits (MRLs); Aflatoxins; Toxins; Mycotoxins; Contaminants; Food safety; Human health</t>
  </si>
  <si>
    <r>
      <rPr>
        <sz val="11"/>
        <rFont val="Calibri"/>
      </rPr>
      <t>https://members.wto.org/crnattachments/2025/SPS/THA/25_09264_00_x.pdf</t>
    </r>
  </si>
  <si>
    <t>Reglamento Técnico TECNOLOGÍA DE LOS ALIMENTOS. PRODUCTOS LÁCTEOS. TÉRMINOS LECHEROS (Technical Regulations: Food Technology. Milk products. Dairy terms)</t>
  </si>
  <si>
    <t>• Technical Regulations: Food Technology. Milk products. Dairy terms; (7 pages, in Spanish)The notified Technical Regulations establish definitions for milk and milk products intended for human consumption or further processing.</t>
  </si>
  <si>
    <r>
      <rPr>
        <sz val="11"/>
        <rFont val="Calibri"/>
      </rPr>
      <t>https://members.wto.org/crnattachments/2025/SPS/PAN/25_09271_00_s.pdf</t>
    </r>
  </si>
  <si>
    <t>Reglamento Técnico TECNOLOGÍA DE LOS ALIMENTOS. PRODUCTOS LÁCTEOS. LECHE CRUDA. ESPECIFICACIONES (Technical Regulations: Food Technology. Milk products. Raw milk. Specifications).</t>
  </si>
  <si>
    <t>The purpose of the notified Technical Regulations is to establish the following:• Technical Regulations: Food Technology. Milk products. Raw milk. Specifications; (5 pages, in Spanish)The notified Technical Regulations establish the health and quality, microbiological, physico-chemical and sensory (organoleptic) requirements that must be met by raw milk (Lactis bovinis cruda) for human consumption.</t>
  </si>
  <si>
    <t>0401 - Milk and cream, not concentrated nor containing added sugar or other sweetening matter</t>
  </si>
  <si>
    <r>
      <rPr>
        <sz val="11"/>
        <rFont val="Calibri"/>
      </rPr>
      <t>https://members.wto.org/crnattachments/2025/SPS/PAN/25_09278_00_s.pdf</t>
    </r>
  </si>
  <si>
    <t>Reglamento Técnico TECNOLOGÍA DE LOS ALIMENTOS. PRODUCTOS LÁCTEOS. QUESO NO MADURADO INCLUIDO QUESO FRESCO. ESPECIFICACIONES. (Technical Regulations: Food Technology. Milk products. Unripened or uncured cheese, including fresh cheese. Specifications).</t>
  </si>
  <si>
    <t>The purpose of the notified Technical Regulations is to establish the following:• Technical Regulations: Food Technology. Milk products. Unripened or uncured cheese, including fresh cheese. Specifications; (7 pages, in Spanish)The notified Technical Regulations establish the technical and sanitary provisions for unripened or uncured cheese, including fresh cheese. They apply to the manufacturing, handling, distribution and marketing of these products.</t>
  </si>
  <si>
    <r>
      <rPr>
        <sz val="11"/>
        <rFont val="Calibri"/>
      </rPr>
      <t>https://members.wto.org/crnattachments/2025/SPS/PAN/25_09282_00_s.pdf</t>
    </r>
  </si>
  <si>
    <t>Reglamento Técnico TECNOLOGÍA DE LOS ALIMENTOS. FRUTAS Y HORTALIZAS FRESCAS. AGUACATE. ESPECIFICACIONES (Technical Regulations: Food technology. Fresh fruit and vegetables. Avocado. Specifications)</t>
  </si>
  <si>
    <t>The purpose of the notified Technical Regulations is to establish the following:• Technical Regulations: Food technology. Fresh fruit and vegetables. Avocado. Specifications; (10 pages, in Spanish)The purpose of the notified Technical Regulations is to establish the technical and quality specifications that avocados (Persea americana) must meet.</t>
  </si>
  <si>
    <t>080440 - Fresh or dried avocados</t>
  </si>
  <si>
    <r>
      <rPr>
        <sz val="11"/>
        <rFont val="Calibri"/>
      </rPr>
      <t>https://members.wto.org/crnattachments/2025/SPS/PAN/25_09290_00_s.pdf</t>
    </r>
  </si>
  <si>
    <t>Reglamento Técnico TECNOLOGÍA DE LOS ALIMENTOS. PRODUCTOS LÁCTEOS. LECHE PASTEURIZADA Y LECHE ULTRAPASTEURIZADA (UHT). ESPECIFICACIONES (Technical Regulations: Food technology. Milk products. Pasteurized and ultra-pasteurized milk (UHT). Specifications)</t>
  </si>
  <si>
    <t>The purpose of the notified Technical Regulations is to establish the following:• Technical Regulations: Food technology. Milk products. Pasteurized and ultra-pasteurized milk (UHT). Specifications; (10 pages, in Spanish)The notified Technical Regulations establish the technical specifications that must be met by pasteurized and ultra-pasteurized milk (UHT) and prohibit the sale of adulterated milk for human consumption.</t>
  </si>
  <si>
    <r>
      <rPr>
        <sz val="11"/>
        <rFont val="Calibri"/>
      </rPr>
      <t>https://members.wto.org/crnattachments/2026/SPS/PAN/26_00033_00_s.pdf</t>
    </r>
  </si>
  <si>
    <t>Reglamento Técnico TECNOLOGÍA DE LOS ALIMENTOS. PRODUCTOS LÁCTEOS. QUESO CREMA. ESPECIFICACIONES (Technical Regulations: Food technology. Dairy products. Cream cheese. Specifications)</t>
  </si>
  <si>
    <t>The purpose of the notified Technical Regulations is to establish the following:• Technical Regulations: Food technology. Dairy products. Cream cheese. Specifications; (7 pages, in Spanish)The notified Technical Regulations establish the technical and sanitary provisions for cream cheese. They apply to the manufacturing, handling, distribution and marketing of this product.</t>
  </si>
  <si>
    <r>
      <rPr>
        <sz val="11"/>
        <rFont val="Calibri"/>
      </rPr>
      <t>https://members.wto.org/crnattachments/2026/SPS/PAN/26_00037_00_s.pdf</t>
    </r>
  </si>
  <si>
    <t>SI 3581 - Welding consumables — Covered electrodes for manual metal arc welding of stainless and heat-resisting steels — Classification</t>
  </si>
  <si>
    <t>The requirements of the Israeli Mandatory Standard SI 3581 on welding consumables are declared voluntary. _x000D_
This declaration was published in Israel's Official Gazette, Section of Government Notices, no. 12191, and came into effect immediately. </t>
  </si>
  <si>
    <t>Electrodes for arc welding (HS: 8311) (ICS: 25.160.20)</t>
  </si>
  <si>
    <t>8311 - 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 8311 - 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</si>
  <si>
    <t>25 - MANUFACTURING ENGINEERING; 25 - Manufacturing engineering</t>
  </si>
  <si>
    <r>
      <rPr>
        <sz val="11"/>
        <rFont val="Calibri"/>
      </rPr>
      <t>https://members.wto.org/crnattachments/2024/TBT/ISR/24_02228_00_x.pdf</t>
    </r>
  </si>
  <si>
    <t>Proyecto de Resolución GMC N° 05/25 - Reglamento Técnico MERCOSUR sobre Rotulado Nutricional de Alimentos Envasados (Derogación de las Resoluciones GMC N° 44/03, 46/03, 48/06 y 40/11)</t>
  </si>
  <si>
    <t>The notified draft resolution corresponds to the updated proposal of GMC Resolution No. 46/03, establishing nutritional labelling requirements for pre-packaged foods.</t>
  </si>
  <si>
    <t>Alimentos envasados</t>
  </si>
  <si>
    <r>
      <rPr>
        <sz val="11"/>
        <rFont val="Calibri"/>
      </rPr>
      <t>https://members.wto.org/crnattachments/2026/TBT/ARG/26_00068_00_s.pdf</t>
    </r>
  </si>
  <si>
    <t>GMC Resolution No. 44/03 http://www.puntofocal.gob.ar/doc/r_gmc_26-03.pdfGMC Resolution No. 46/03 http://www.puntofocal.gob.ar/doc/r_gmc_26-03.pdfGMC Resolution No. 48/06 http://www.puntofocal.gob.ar/doc/r_gmc_26-03.pdfGMC Resolution No. 40/11 http://www.puntofocal.gob.ar/doc/r_gmc_26-03.pdfG/TBT/N/ARG/465- 2 -</t>
  </si>
  <si>
    <t>Reglamento Técnico TECNOLOGÍA DE LOS ALIMENTOS. FRUTAS Y HORTALIZAS FRESCAS. LIMA-LIMÓN. ESPECIFICACIONES; </t>
  </si>
  <si>
    <t>The purpose of the notified Technical Regulations is to establish the following:• Technical Regulations: Food technology. Fresh fruit and vegetables. Limes and lemons. Specifications; (10 pages, in Spanish)The purpose of the notified Technical Regulations is to establish the general, quality and safety requirements that limes and lemons must meet to be consumed fresh, marketed and/or used as a raw ingredient for industrial processing.</t>
  </si>
  <si>
    <t>Frutas, hortalizas y productos derivados en general (Código(s) de la ICS: 67.080.01)</t>
  </si>
  <si>
    <r>
      <rPr>
        <sz val="11"/>
        <rFont val="Calibri"/>
      </rPr>
      <t>https://members.wto.org/crnattachments/2026/TBT/PAN/26_00080_00_s.pdf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</si>
  <si>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2003. Code of Hygienic Practice for Fresh Fruits and Vegetables. Codex Alimentarius Code of Practice, CXC 53-2003.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1999. Code of Practice for Packaging and Transport of Fresh Fruit and Vegetables. Codex Alimentarius Standard, CXC 44-1995. Codex Alimentarius Commission. Rome.</t>
  </si>
  <si>
    <t>Reglamento Técnico TECNOLOGÍA DE LOS ALIMENTOS. PRODUCTOS CÁRNICOS. CARNE DE CERDO Y SUS DERIVADOS. ESPECIFICACIONES; </t>
  </si>
  <si>
    <t>The purpose of the notified Technical Regulations is to establish the following:• Technical Regulations: Food Technology. Meat products. Meat of swine and products thereof. Specifications; (17 pages, in Spanish)The purpose of the notified Technical Regulations is to regulate sanitary aspects of the preparation of meat of swine and products thereof, both of national origin and imported, as well as their storage, distribution, sale and transport, in different establishments in the country, and to establish the safety-related requirements, conditions and sanitary measures that must be met.G/TBT/N/PAN/155- 2 -</t>
  </si>
  <si>
    <t>Carne y productos cárnicos (Código(s) de la ICS: 67.120.10)</t>
  </si>
  <si>
    <r>
      <rPr>
        <sz val="11"/>
        <rFont val="Calibri"/>
      </rPr>
      <t>https://members.wto.org/crnattachments/2026/TBT/PAN/26_00099_00_s.pdf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</si>
  <si>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t>
  </si>
  <si>
    <t>DEAS 1308:2025, Primary plastic balloon — Specification, First Edition</t>
  </si>
  <si>
    <t>This Working Draft East African Standard specifies the requirements, sampling, and test methods for primary plastic balloons including, foil/Mylar balloons This standard does not apply to LED balloons, barrage balloons, and balloon catheters.</t>
  </si>
  <si>
    <t>PLASTICS AND ARTICLES THEREOF (HS code(s): 39); Other rubber and plastics products (ICS code(s): 83.140.99); Plastic balloons; foil balloons; Mylar balloons</t>
  </si>
  <si>
    <t>39 - PLASTICS AND ARTICLES THEREOF</t>
  </si>
  <si>
    <t>83.140.99 - Other rubber and plastics products</t>
  </si>
  <si>
    <t>Consumer information, labelling (TBT); Protection of human health or safety (TBT); Protection of the environment (TBT); Quality requirements (TBT); Harmonization (TBT); Reducing trade barriers and facilitating trade (TBT)</t>
  </si>
  <si>
    <r>
      <rPr>
        <sz val="11"/>
        <rFont val="Calibri"/>
      </rPr>
      <t>https://members.wto.org/crnattachments/2026/TBT/UGA/26_00073_00_e.pdf</t>
    </r>
  </si>
  <si>
    <t>ISO 2859-1, Sampling procedures for inspection by attributes, Part 1: Sampling schemes indexed by acceptance quality limit (AQL) for lot-by-lot inspection ISO 8124-3, Safety of toys — Part 3: Migration of certain elements</t>
  </si>
  <si>
    <t>DEAS 1305:2025, Moulded Polyethylene Chemical Storage Tank — Specification, First Editions</t>
  </si>
  <si>
    <t>This Working Draft East African Standard specifies requirements, sampling and test methods for rotational and blow moulded flat bottom, upright cylindrical polyethylene chemical storage tanks for storage of chemical liquids having a maximum specific gravity of 1400 kg/m3 , designed for a service temperature of not more than 60⁰C. This Working Draft East African Standard covers the design of stationery vessels for use at atmospheric pressure intended for storage/use with liquid chemicals heated below their flash points. This standard is not applicable to underground tanks, mobile water tanks and horizontal cylindrical water tanks.</t>
  </si>
  <si>
    <t>Reservoirs, tanks, vats and similar containers, of plastics, with a capacity of &gt; 300 l (HS code(s): 392510); Other rubber and plastics products (ICS code(s): 83.140.99); polyethylene chemical storage tank</t>
  </si>
  <si>
    <r>
      <rPr>
        <sz val="11"/>
        <rFont val="Calibri"/>
      </rPr>
      <t>https://members.wto.org/crnattachments/2026/TBT/UGA/26_00076_00_e.pdf</t>
    </r>
  </si>
  <si>
    <t>ISO 1133-1, Plastics — Determination of the melt mass-flow rate (MFR) and melt volume-flow rate (MVR) of thermoplastics — Part 1: Standard method ISO 1183-1, Plastics — Methods for determining the density of non-cellular plastics — Part 1: Immersion method, liquid pycnometer method and titration method ISO 18872, Plastics — Determination of tensile properties at high strain ratesISO 23900-3, Pigments and extenders — Methods of dispersion and assessment of dispersibility in plastics — Part 3: Determination of colouristic properties and ease of dispersion of black and colour pigments in polyethylene by two-roll milling ISO 1209-1, Rigid cellular plastics — Determination of flexural properties — Part 1: Basic bending test ISO 1209-2, Rigid cellular plastics — Determination of flexural properties — Part 2: Determination of flexural strength and apparent flexural modulus of elasticity ASTM D2837, Test Method for Obtaining Hydrostatic Design Basis for Thermoplastic Pipe Materials or Pressure Design Basis for Thermoplastic Pipe ProductsRS 128: 2019, Rotational moulded polyethylene water storage tanks — SpecificationTZS 892-1: 2019, Polyethylene tanks for storage of potable water — Part 1: SpecificationsUS 1560: 2022, Moulded polyethylene water storage tank — SpecificationIS 12701(1996), Rotational moulded polyethylene water storage tanks.ASTM D1998-21, Standard Specification for Polyethylene Upright Storage Tanks</t>
  </si>
  <si>
    <t>Implementation Rules CNCA-C11-13 of the Compulsory Certification for Retro-Reflective Markings of Carriage of the P.R.C.</t>
  </si>
  <si>
    <t>This document specifies the scope of application, certification basis standards, certification modes, certification unit division, certification application, certification implementation, post-certification supervision, certification certificate, certification marks, fees, and certification responsibilities for compulsory product certification of retro-reflective markings of carriage._x000D_
This document applies to the implementation of the compulsory product certification for retro-reflective markings of carriage.</t>
  </si>
  <si>
    <t>Retro-reflective markings of carriage (HS code(s): 851220); (ICS code(s): 43.040.20)</t>
  </si>
  <si>
    <t>43.040.20 - Lighting, signalling and warning devices</t>
  </si>
  <si>
    <r>
      <rPr>
        <sz val="11"/>
        <rFont val="Calibri"/>
      </rPr>
      <t>https://members.wto.org/crnattachments/2026/TBT/CHN/26_00047_00_x.pdf</t>
    </r>
  </si>
  <si>
    <t>Implementation Rules CNCA-C11-08 of the Compulsory Certification for Motor Vehicle Indirect Vision Device of the P.R.C.</t>
  </si>
  <si>
    <t>This document specifies the scope of application, certification standards, certification modes, certification unit division, principles for classifying manufacturers, certification application, certification implementation, post-certification supervision, certification certificates, certification marks, fees, certification responsibilities, and detailed certification implementation rules for compulsory product certification of motor vehicle indirect vision device.This document applies to motor vehicle indirect vision device including motor vehicle mirrors, motorcycle rearview mirrors and camera-monitor devices, etc. </t>
  </si>
  <si>
    <t>Motor vehicle indirect vision device (HS code(s): 700910; 852859); (ICS code(s): 43.040.60)</t>
  </si>
  <si>
    <t>700910 - Rear-view mirrors, whether or not framed, for vehicles; 852859 - Monitors (excl. with TV receiver, CRT and those designed for computer use)</t>
  </si>
  <si>
    <t>43.040.60 - Bodies and body components</t>
  </si>
  <si>
    <r>
      <rPr>
        <sz val="11"/>
        <rFont val="Calibri"/>
      </rPr>
      <t>https://members.wto.org/crnattachments/2026/TBT/CHN/26_00054_00_x.pdf</t>
    </r>
  </si>
  <si>
    <t>Draft Resolution 1368, 11 December 2025</t>
  </si>
  <si>
    <t>This draft resolution establishes basic Good Manufacturing Practice procedures for establishments that produce or process canned fruits and/or vegetables.</t>
  </si>
  <si>
    <r>
      <rPr>
        <sz val="11"/>
        <rFont val="Calibri"/>
      </rPr>
      <t>https://members.wto.org/crnattachments/2026/SPS/BRA/26_00010_00_x.pdf
Draft: https://anvisalegis.datalegis.net/action/UrlPublicasAction.php?acao=abrirAtoPublico&amp;num_ato=00001368&amp;sgl_tipo=CPB&amp;sgl_orgao=ANVISA/MS&amp;vlr_ano=2025&amp;seq_ato=222&amp;cod_modulo=134&amp;cod_menu=1696
Comment form:  https://pesquisa.anvisa.gov.br/index.php/966555?lang=pt-BR</t>
    </r>
  </si>
  <si>
    <t>The draft of the Egyptian Standard ES 164-1-4 for “Domestic gas cooking appliances — Safety Part 1-4: Particular requirements for ovens and compartment grills”</t>
  </si>
  <si>
    <t>Products coveredICS: 97.040.20 (Cooking ranges, working tables, ovens and similar appliances).This addendum concerns the notification of the draft of the Egyptian Standard ES 164-1-4 for "Domestic gas cooking appliances — Safety Part 1-4: Particular requirements for ovens and compartment grills"(45 pages, in English).It should be noted that the Ministerial Decree No. 423/2005 (25 pages, in Arabic) which was formerly notified in G/TBT/N/EGY/3 dated 14 December 2005 and the Ministerial Decree No. 1002/2017 (3 pages, in Arabic) which was formerly notified in G/TBT/N/EGY/3/Add.8 dated 10 January 2018, mandated among others the earlier versions of this Standard.Worth mentioning is that this standard adopts the technical content of ISO 21364-22:2025.Producers and importers are kept informed of any amendments in the Egyptian standards through the publication of administrative orders in the official gazette.Proposed date of adoption: To be determined.Proposed date of entry into force: To be determined.Agency or authority designated to handle comments and text available from:National Enquiry PointEgyptian Organization for Standardization and Quality16 Tadreeb El-Modarrebeen St., Ameriya, Cairo - EgyptE-mail: eos@eos.org.eg/eos.tbt@eos.org.egWebsite: http://www.eos.org.egTel: + (202) 22845528Fax: + (202) 22845504</t>
  </si>
  <si>
    <t>Chemical, textile and engineering products</t>
  </si>
  <si>
    <t>91.100 - Construction materials; 97.040.20 - Cooking ranges, working tables, ovens and similar appliances</t>
  </si>
  <si>
    <t>Reglamento Técnico TECNOLOGÍA DE LOS ALIMENTOS. PRODUCTOS LÁCTEOS. LECHE EVAPORADA. ESPECIFICACIONES (Technical Regulations: Food technology. Milk products. Evaporated milk. Specifications)</t>
  </si>
  <si>
    <t>The purpose of the notified Technical Regulations is to establish the following:• Technical Regulations: Food technology. Milk products. Evaporated milk. Specifications; (8 pages, in Spanish)The notified Technical Regulations define the characteristics that evaporated or concentrated milk must meet after undergoing appropriate heat treatment to ensure its preservation in hermetically sealed containers, in accordance with the definitions set out in Section 4 of these Technical Regulations.</t>
  </si>
  <si>
    <r>
      <rPr>
        <sz val="11"/>
        <rFont val="Calibri"/>
      </rPr>
      <t>https://members.wto.org/crnattachments/2026/SPS/PAN/26_00034_00_s.pdf</t>
    </r>
  </si>
  <si>
    <t>Reglamento Técnico TECNOLOGÍA DE LOS ALIMENTOS. FRUTAS Y HORTALIZAS FRESCAS. NARANJA. ESPECIFICACIONES; </t>
  </si>
  <si>
    <t>The purpose of the notified Technical Regulations is to establish the following:• Technical Regulations: Food technology. Fresh fruit and vegetables. Orange. Specifications; (11 pages, in Spanish)The purpose of the notified Technical Regulations is to establish the general, quality and safety requirements that oranges (Citrus sinensis) must meet to be consumed fresh, marketed and/or used as a raw ingredient for industrial processing.</t>
  </si>
  <si>
    <r>
      <rPr>
        <sz val="11"/>
        <rFont val="Calibri"/>
      </rPr>
      <t>https://members.wto.org/crnattachments/2026/TBT/PAN/26_00084_00_s.pdf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</si>
  <si>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2003. Code of Hygienic Practice for Fresh Fruits and Vegetables. Codex Alimentarius Code of Practice, CXC 53-2003.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1999. Code of Practice for Packaging and Transport of Fresh Fruit and Vegetables. Codex Alimentarius Standard, CXC 44-1995. Codex Alimentarius Commission. Rome.</t>
  </si>
  <si>
    <t>Implementation Rules CNCA-C11-04 of the Compulsory Certification for Vehicles Safety-Belts of the P.R.C.</t>
  </si>
  <si>
    <t>This document specifies the scope of application, certification standards, certification modes,certification unit division, principles for classifying manufacturers, certification application, certification implementation, post-certification supervision, certification certificates, certification marks, fees, certification responsibilities, and detailed certification implementation rules for compulsory product certification of vehicles safety-belts_x000D_
This document applies to seat belts installed on M and N class vehicles, intended for independent use by adult occupants. </t>
  </si>
  <si>
    <t>Vehicles safety-belts (HS code(s): 870821); (ICS code(s): 43.040.60)</t>
  </si>
  <si>
    <t>870821 - Safety seat belts for motor vehicles</t>
  </si>
  <si>
    <r>
      <rPr>
        <sz val="11"/>
        <rFont val="Calibri"/>
      </rPr>
      <t>https://members.wto.org/crnattachments/2026/TBT/CHN/26_00056_00_x.pdf</t>
    </r>
  </si>
  <si>
    <t>Draft Resolution 1365, 11 December 2025</t>
  </si>
  <si>
    <t>This draft resolution proposes a Normative Instruction that establishes specific requirements for good manufacturing practices requirements for bottled water.</t>
  </si>
  <si>
    <t>Environment. Health Protection. Safety (ICS code(s): 13)</t>
  </si>
  <si>
    <t>13 - ENVIRONMENT. HEALTH PROTECTION. SAFETY</t>
  </si>
  <si>
    <r>
      <rPr>
        <sz val="11"/>
        <rFont val="Calibri"/>
      </rPr>
      <t>https://members.wto.org/crnattachments/2026/SPS/BRA/26_00008_00_x.pdf
Draft: https://anvisalegis.datalegis.net/action/UrlPublicasAction.php?acao=abrirAtoPublico&amp;num_ato=00001365&amp;sgl_tipo=CPB&amp;sgl_orgao=ANVISA/MS&amp;vlr_ano=2025&amp;seq_ato=222&amp;cod_modulo=134&amp;cod_menu=1696
Comment form:  https://pesquisa.anvisa.gov.br/index.php/352523?lang=pt-BR</t>
    </r>
  </si>
  <si>
    <t>Draft Resolution 1369, 12 December 2024</t>
  </si>
  <si>
    <t>This draft resolution proposes a regulatory act to periodically update the list of authorized food additives and processing aids for use in fluid milk, milk beverages, and cream. </t>
  </si>
  <si>
    <r>
      <rPr>
        <sz val="11"/>
        <rFont val="Calibri"/>
      </rPr>
      <t>https://members.wto.org/crnattachments/2026/SPS/BRA/26_00013_00_x.pdf
Draft: https://anvisalegis.datalegis.net/action/UrlPublicasAction.php?acao=abrirAtoPublico&amp;num_ato=00001369&amp;sgl_tipo=CPB&amp;sgl_orgao=ANVISA/MS&amp;vlr_ano=2025&amp;seq_ato=222&amp;cod_modulo=134&amp;cod_menu=1696
Comment form:  https://pesquisa.anvisa.gov.br/index.php/855749?lang=pt-BR</t>
    </r>
  </si>
  <si>
    <t>Proyecto de Resolución Directoral que establece los requisitos fitosanitarios de necesario cumplimiento en la importación de polen de papa (Solanum tuberosum L.) de origen y procedencia Brasil (Draft Directorial Resolution establishing the mandatory phytosanitary requirements for the importation of potato (Solanum tuberosum L.) pollen originating in and coming from Brazil)</t>
  </si>
  <si>
    <t>The notified draft Directorial Resolution sets out the phytosanitary requirements for the importation into Peru of potato (Solanum tuberosum L.) pollen originating in and coming from Brazil, following the completion of the relevant pest risk analysis.</t>
  </si>
  <si>
    <t>Potato (Solanum tuberosum L.) pollen (HS code: 140490)</t>
  </si>
  <si>
    <t>Upon publication in the Official Journal, El Peruano.</t>
  </si>
  <si>
    <r>
      <rPr>
        <sz val="11"/>
        <rFont val="Calibri"/>
      </rPr>
      <t>https://members.wto.org/crnattachments/2025/SPS/PER/25_09294_00_s.pdf
El texto lo puede descargar de la página web del SENASA
 cuya ruta es la siguiente: https://www.gob.pe/institucion/senasa/campa%C3%B1as/4831-consulta-publica-de-importaciones-agricolas</t>
    </r>
  </si>
  <si>
    <t>Proyecto de Norma Oficial Mexicana PROY-NOM-024-ASEA-2025, Manejo de Agua producida y/o Fluido de retorno asociado a la Exploración y Extracción de Hidrocarburos – Especificaciones de Seguridad Industrial, Seguridad Operativa y protección al medio ambiente (cancela y sustituye la Norma Oficial Mexicana NOM-143-SEMARNAT-2003, Que establece las especificaciones ambientales para el manejo de agua congénita asociada a hidrocarburos)</t>
  </si>
  <si>
    <t>The notified draft Mexican Official Standard establishes the technical criteria and specifications regarding industrial safety, operational safety and environmental protection that are to be met in the management of produced water and/or flowback fluid associated with the exploration and extraction of hydrocarbons. The Standard will apply throughout national territory and in areas where the Nation exercises sovereignty and jurisdiction, and is binding on regulated entities that manage produced water and/or flowback fluid generated in hydrocarbon exploration and extraction activities.The draft text addresses the following aspects:(a) Specifications and prior requirements for the management of produced water and/or flowback fluid.(b) Safety requirements for storage.(c) Considerations regarding the location and selection of storage tanks.(d) Inclusion of an inspection and monitoring programme for storage tanks and treatment systems.(e) Requirements for the design, selection and installation of treatment systems.(f) Considerations regarding transportation and movement by pipeline, tank car or tanker truck.(g) Maintenance, inspection and operating procedures for each system and part.(h) Guidelines for the management, reuse and discharge of waste water from the flowback fluid treatment process.(i) Detailed conformity assessment procedure for obtaining the annual compliance certificate.</t>
  </si>
  <si>
    <t>Aplica en todo el territorio nacional y zonas donde la Nación ejerza su soberanía y jurisdicción, es de observancia general y obligatoria para los Regulados que realicen el manejo de Agua producida y/o Fluido de retorno generados en las actividades de Exploración y Extracción de Hidrocarburos.</t>
  </si>
  <si>
    <r>
      <rPr>
        <sz val="11"/>
        <rFont val="Calibri"/>
      </rPr>
      <t>https://members.wto.org/crnattachments/2026/TBT/MEX/26_00071_00_s.pdf</t>
    </r>
  </si>
  <si>
    <t>The following existing regulatory documents, or those replacing or amending them, must be consulted in order to correctly implement the notified draft Mexican Official Standard:• Norma Oficial Mexicana NOM-001-SEMARNAT-2021, Que establece los límites permisibles de contaminantes en las descargas de aguas residuales en cuerpos receptores propiedad de la nación, published in the Official Journal on 11 March 2022.• Norma Mexicana NMX-AA-117-SCFI-2001, Análisis de Agua - Determinación de Hidrocarburos Totales del Petróleo (HTP´s) en aguas naturales, potables, residuales y residuales tratadas - Método de Prueba. Notice of entry into force published in the Official Journal on 21 September 2001.• Norma Mexicana NMX-AA-034-SCFI-2015, Análisis de Agua - Medición de sólidos y sales disueltas en aguas naturales, residuales y residuales tratadas-Método de prueba (cancela a la NMX-AA-034-SCFI2001). Notice of entry into force published in the Official Journal on 18 April 2016.• Norma Mexicana NMX-AA-115-SCFI-2015, Análisis de Agua - Criterios Generales para el Control de la Calidad de Resultados Analíticos - (cancela a la NMX-AA-115-SCFI-2001). Notice of entry into force published in the Official Journal on 16 October 2015.G/TBT/N/MEX/553- 3 -• Lineamientos para la protección y conservación de las aguas nacionales en actividades de exploración y extracción de hidrocarburos en yacimientos no convencionales, issued by the National Water Commission and published in the Official Journal on 30 August 2017.• Disposiciones administrativas de carácter general que establecen los Lineamientos para Informar la ocurrencia de incidentes y accidentes a la Agencia Nacional de Seguridad Industrial y de Protección al Medio Ambiente del Sector Hidrocarburos, published in the Official Journal on 4 November 2016, and amendments thereto.• Disposiciones administrativas de carácter general que establecen los Lineamientos para la elaboración de los protocolos de respuesta a emergencias en las actividades del Sector Hidrocarburos, published in the Official Journal on 22 March 2019, and amendments thereto.• Disposiciones administrativas de carácter general que establecen los Lineamientos aplicables a la Construcción y Mantenimiento de Pozos para la Exploración y Extracción de Hidrocarburos, published in the Official Journal on 20 December 2024.• Disposiciones administrativas de carácter general aplicables al diseño, construcción, operación y taponamiento de Pozos de Disposición, published in the Official Journal on 20 September 2021.</t>
  </si>
  <si>
    <t>Reglamento Técnico TECNOLOGÍA DE LOS ALIMENTOS. FRUTAS Y HORTALIZAS FRESCAS. MANGO. ESPECIFICACIONES; </t>
  </si>
  <si>
    <t>The purpose of the notified Technical Regulations is to establish the following:• Technical Regulations: Food technology. Fresh fruit and vegetables. Mango. Specifications; (10 pages, in Spanish)The purpose of the notified Technical Regulations is to establish the general, quality and safety requirements that mangoes (Mangifera indica) must meet to be consumed fresh, marketed and/or used as a raw ingredient for industrial processing.</t>
  </si>
  <si>
    <r>
      <rPr>
        <sz val="11"/>
        <rFont val="Calibri"/>
      </rPr>
      <t>https://members.wto.org/crnattachments/2026/TBT/PAN/26_00082_00_s.pdf</t>
    </r>
  </si>
  <si>
    <t>Implementation Rules CNCA-C11-12 of the Compulsory Certification for Automobile Seats and Head Restraints of the P.R.C.</t>
  </si>
  <si>
    <t>This document specifies the scope of application, certification standards, certification modes, certification unit division, principles for classifying manufacturers, certification application, certification implementation, post-certification supervision, certification certificates, certification marks, fees, certification responsibilities, and detailed certification implementation rules for compulsory product certification of automotive seats and head restraints._x000D_
This document applies to seats and headrests of category M and N vehicles.</t>
  </si>
  <si>
    <t>Automobile seats and head restraints (HS code(s): 940120; 94019); (ICS code(s): 43.040.60)</t>
  </si>
  <si>
    <t>940120 - Seats for motor vehicles; 94019 - - Parts :</t>
  </si>
  <si>
    <r>
      <rPr>
        <sz val="11"/>
        <rFont val="Calibri"/>
      </rPr>
      <t>https://members.wto.org/crnattachments/2026/TBT/CHN/26_00058_00_x.pdf</t>
    </r>
  </si>
  <si>
    <t>Draft Resolution 1363, 11 December 2025</t>
  </si>
  <si>
    <t>This draft resolution, proposes a Normative Instruction that establishes Good Manufacturing Practices for nutritional formulas and dietary supplements.</t>
  </si>
  <si>
    <r>
      <rPr>
        <sz val="11"/>
        <rFont val="Calibri"/>
      </rPr>
      <t>https://members.wto.org/crnattachments/2026/SPS/BRA/26_00011_00_x.pdf
Draft: https://anvisalegis.datalegis.net/action/UrlPublicasAction.php?acao=abrirAtoPublico&amp;num_ato=00001363&amp;sgl_tipo=CPB&amp;sgl_orgao=ANVISA/MS&amp;vlr_ano=2025&amp;seq_ato=222&amp;cod_modulo=134&amp;cod_menu=1696
Comment form:  https://pesquisa.anvisa.gov.br/index.php/561368?lang=pt-BR</t>
    </r>
  </si>
  <si>
    <t>Reglamento Técnico TECNOLOGÍA DE LOS ALIMENTOS. PRODUCTOS LÁCTEOS. QUESO BLANCO PANAMÁ. ESPECIFICACIONES (Technical Regulations: Food Technology. Milk products. Panamanian white cheese. Specifications).</t>
  </si>
  <si>
    <t>The purpose of the notified Technical Regulations is to establish the following:• Technical Regulations: Food Technology. Milk products. Panamanian white cheese. Specifications; (7 pages, in Spanish)The notified Technical Regulations establish the technical and sanitary provisions for Panamanian white cheese. It applies to the manufacturing, handling, distribution and marketing of white cheese made from domestically-produced liquid milk.</t>
  </si>
  <si>
    <r>
      <rPr>
        <sz val="11"/>
        <rFont val="Calibri"/>
      </rPr>
      <t>https://members.wto.org/crnattachments/2025/SPS/PAN/25_09283_00_s.pdf</t>
    </r>
  </si>
  <si>
    <t>Reglamento Técnico TECNOLOGÍA DE LOS ALIMENTOS. FRUTAS Y HORTALIZAS FRESCAS. MANGO. ESPECIFICACIONES (Technical Regulations: Food technology. Fresh fruit and vegetables. Mango. Specifications)</t>
  </si>
  <si>
    <t>• Technical Regulations: Food technology. Fresh fruit and vegetables. Mango. Specifications; (10 pages, in Spanish)The purpose of the notified Technical Regulations is to establish the general, quality and safety requirements that mangoes (Mangifera indica) must meet to be consumed fresh, marketed and/or used as a raw ingredient for industrial processing.</t>
  </si>
  <si>
    <t>080450 - Fresh or dried guavas, mangoes and mangosteens</t>
  </si>
  <si>
    <r>
      <rPr>
        <sz val="11"/>
        <rFont val="Calibri"/>
      </rPr>
      <t>https://members.wto.org/crnattachments/2025/SPS/PAN/25_09291_00_s.pdf</t>
    </r>
  </si>
  <si>
    <t>Proyecto de Norma Oficial Mexicana PROY-NOM-025-ASEA-2025, Distribución de petrolíferos para aeronaves en aeródromos</t>
  </si>
  <si>
    <t>The notified draft Mexican Official Standard establishes the technical specifications and requirements regarding industrial safety, operational safety and environmental protection that are to be met in respect of the design, start of operations, construction, operation, maintenance, and termination of operations of supply vehicles and facilities in aerodromes. The Standard will apply throughout national territory and in areas where the Nation exercises sovereignty and jurisdiction, and is binding on regulated entities engaged in the distribution of petroleum products for aircraft in aerodromes.The draft text addresses the following aspects:(a) Structure in accordance with the stages of development of the project (design, start of operations, construction, pre-start up, operation and maintenance, and end of operations).(b) Establishment of technical requirements and specifications for vehicles and facilities used to supply petroleum products for aircraft.(c) Operating procedures for supplying petroleum products for aircraft using supply vehicles and facilities, and for loading and storing these products.(d) Activities relating to the operations manual and the annual review and maintenance programme.Regulated entities shall show compliance with this draft Mexican Official Standard by obtaining start-of-operations, design, construction, and operation and maintenance certificates, as well as an end-of-operations report or notice, for the distribution of petroleum products for aircraft in aerodromes, thus guaranteeing that this activity is carried out safely.</t>
  </si>
  <si>
    <t>Aplica en todo el territorio nacional y zonas donde la Nación ejerza su soberanía y jurisdicción y es de observancia general y obligatoria para los Regulados que realicen la actividad de Distribución de Petrolíferos para Aeronaves en Aeródromos, en las modalidades siguientes:a) Distribución y Suministro de Petrolíferos para Aeronaves mediante Auto-tanque Desde el punto de salida de la Instalación de Almacenamiento de Petrolíferos para Aeronaves, incluyendo el traslado, hasta el punto de interconexión del Auto-tanque con la Aeronave.b) Suministro de Petrolíferos para Aeronaves a través de Dispensador Desde la salida de la válvula del hidrante en el Aeródromo hasta el punto de interconexión del Dispensador con la Aeronave.c) Sistema de almacenamiento y Suministro de Petrolíferos para Aeronaves en Aeródromos Desde el punto de interconexión para el recibo del Petrolífero para Aeronave, incluyendo el Sistema de almacenamiento hasta el punto de interconexión del Sistema de Suministro con la Aeronave.</t>
  </si>
  <si>
    <r>
      <rPr>
        <sz val="11"/>
        <rFont val="Calibri"/>
      </rPr>
      <t>https://members.wto.org/crnattachments/2026/TBT/MEX/26_00069_00_s.pdf</t>
    </r>
  </si>
  <si>
    <t>The following existing regulatory documents, or those replacing or amending them, must be consulted in order to correctly implement the notified draft Mexican Official Standard:• Norma Oficial Mexicana NOM-093-SCFI-2020 Válvulas de relevo de presión (Seguridad, seguridad-alivio y alivio) operadas por resorte y piloto; fabricadas de acero y bronce (cancela a la NOM-093-SCFI-1994). Published in the Official Journal on 25 November 2021.G/TBT/N/MEX/551- 3 -• Norma Oficial Mexicana NOM-001-SEDE-2012 Instalaciones Eléctricas (utilización). Published in the Official Journal on 29 November 2012.• Norma Oficial Mexicana NOM-001-STPS-2008 Edificios, locales, instalaciones y áreas en los centros de trabajo. Condiciones de seguridad. Published in the Official Journal on 24 November 2008.• Norma Oficial Mexicana NOM-002-STPS-2010 Condiciones de seguridad-Prevención y protección contra incendios en los centros de trabajo. Published in the Official Journal on 9 December 2010.• Norma Oficial Mexicana NOM-026-STPS-2008 Colores y señales de seguridad e higiene, e identificación de riesgos por fluidos conducidos en tuberías. Published in the Official Journal on 25 November 2008.• Norma Oficial Mexicana NOM-044-SEMARNAT-2017 Que establece los límites máximos permisibles de emisión de monóxido de carbono, óxidos de nitrógeno, hidrocarburos no metano, hidrocarburos no metano más óxidos de nitrógeno, partículas y amoniaco, provenientes del escape de motores nuevos que utilizan diésel como combustible y que se utilizarán para la propulsión de vehículos automotores con peso bruto vehicular mayor a 3,857 kilogramos, así como del escape de vehículos automotores nuevos con peso bruto vehicular mayor a 3,857 kilogramos equipados con este tipo de motores. Published in the Official Journal on 19 February 2018.• Norma Oficial Mexicana NOM-079-SEMARNAT-1994 Que establece los límites máximos permisibles de emisión de ruido de los vehículos automotores nuevos en planta y su método de medición. Published in the Official Journal of 12 January 1995.• Norma Mexicana NMX-B-482-CANACERO-2016 Industria siderúrgica-capacitación, calificación y certificación de personal en ensayos no destructivos. Notice of entry into force published in the Official Journal on 20 October 2016.• Norma Mexicana NMX-EC-17024-IMNC-2014 Evaluación de la conformidad - Requisitos generales para los organismos que realizan certificación de personas. Notice of entry into force published in the Official Journal on 6 June 2014.• Disposiciones Administrativas de carácter general que establecen los Lineamientos para la elaboración de los protocolos de respuesta a emergencias en las actividades del Sector Hidrocarburos and amendments thereto. Published in the Official Journal on 22 March 2019.• ISO 1825:2018 Rubber hoses and hose assemblies for aircraft ground fuelling and defuelling - Specification.• ISO 8504-1:2019 Preparation of steel substrates before application of paints and related products - Surface preparation methods.• ISO 9712:2021 Non-destructive testing - Qualification and certification of NDT personnel.• ISO 12944-5:2019 Paints and varnishes - Corrosion protection of steel structures by protective paint systems - Part 5: Protective paint systems.• ISO 17024:2012 Conformity assessment - General requirements for bodies operating certification of persons.• API 570, 2016 Piping Inspection Code: In-service Inspection, Rating, Repair, and Alteration of Piping Systems.• API 600, 2021 Steel Gate Valves - Flanged and Butt-welding Ends, Bolted Bonnets.• API 602, 2022 Gate, Globe, and Check Valves for Sizes DN 100 (NPS 4) and Smaller for the Petroleum and Natural Gas Industries.• API 607/6FA, 2022 Fire Test for Quarter-turn Valves and Valves Equipped with Non-metallic Seats.G/TBT/N/MEX/551- 4 -• API 650 Welded Steel Tanks for Oil Storage.• ASME B16.5, 2020 Pipe Flanges and Flanged Fittings.• ASME B16.10, 2023 Face-to-Face and End-to-End Dimensions of Valves.• ASME B16.11, 2021 Forged Fittings, Socket-Welding and Threaded.• ASME B16.47 Series A, 2020 Large Diameter Steel Flanges: NPS 26 through NPS 60, Metric/Inch Standard.• ASME B31.3, 2022 Process Piping.• ASME Section IX Qualification Standard for Welding, Brazing, and Fusing Procedures; Welders; Brazers; and Welding, Brazing, and Fusing Operators.• ASTM A53/A53M, 2022 Standard Specification for Pipe, Steel, Black and Hot-Dipped, Zinc-Coated, Welded and Seamless.• ASTM A193, 2024 Standard Specification for Alloy-Steel and Stainless Steel Bolting for High Temperature or High Pressure Service and Other Special Purpose Applications. ASTM D2276, 2022 Standard Test Method for Particulate Contaminant in Aviation Fuel by Line Sampling.• EI 1529, 2014 Aviation fuelling hose and hose assemblies.• EI 1541, 2016 Requirements for internal protective coating systems used in aviation fuel handling systems.• EI 1542, 2012 Identification markings for dedicated aviation fuel manufacturing and distribution facilities, airport storage and mobile fuelling equipment.• EI 1581, 2024 Specifications and laboratory qualification procedures for aviation fuel filter/water separators.• EI 1582, 2011 Specification for similarity for EI 1581 aviation jet fuel filter/separators.• EI 1583, 2020 Laboratory tests and minimum performance levels for aviation fuel filter monitors, 6th edition.• EI 1588, 2022 Laboratory tests and minimum performance levels for aviation fuel water barrier filters.• EI 1590, 2014 Specifications and qualification procedures for aviation fuel microfilters.• EI 1596, 2019 Design and construction of aviation fuel filter vessels. 4.39. EI 1598, 2012 Design, functional requirements and laboratory testing protocols for electronic sensors to monitor free water and/or particulate matter in aviation fuel.• EI 1599, 2017 Laboratory tests and minimum performance levels for aviation fuel dirt defence filters.• JIG 1 Aviation Fuel Quality Controls and Operating Standards for Into-Plane Fuelling Services, 2021.• MIL-PRF-4556, 1998 Performance Specification: Coating Kit, Epoxy, for Interior of Steel Fuel Tanks.• NFPA 30, 2024 Flammable and Combustible Liquids Code.• SAE AS5877, 2001 Detailed Specification for Aircraft Pressure Refueling Nozzle.• UL 142, 2021 Steel Aboveground Tanks for Flammable and Combustible Liquids.• UL 2085, 2010 Protected Aboveground Tanks for Flammable and Combustible Liquids.</t>
  </si>
  <si>
    <t>Reglamento Técnico TECNOLOGÍA DE LOS ALIMENTOS. PRODUCTOS LÁCTEOS. QUESO BLANCO PANAMÁ. ESPECIFICACIONES; </t>
  </si>
  <si>
    <t>The purpose of the notified Technical Regulations is to establish the following:• Technical Regulations: Food technology. Dairy products. Panamanian white cheese. Specifications; (7 pages, in Spanish)The notified Technical Regulations establish the technical and sanitary provisions for Panamanian white cheese. It applies to the manufacturing, handling, distribution and marketing of white cheese made from domestically-produced liquid milk.</t>
  </si>
  <si>
    <r>
      <rPr>
        <sz val="11"/>
        <rFont val="Calibri"/>
      </rPr>
      <t>https://members.wto.org/crnattachments/2026/TBT/PAN/26_00093_00_s.pdf</t>
    </r>
  </si>
  <si>
    <t>G/TBT/N/PAN/151- 2 - •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1978. General Standard for Cheese. Codex Alimentarius Standard, CXS 283-1978. Codex Alimentarius Commission. Rome.</t>
  </si>
  <si>
    <t>DEAS 1307:2025, Plastic cutlery — Specification, First Edition</t>
  </si>
  <si>
    <t>This Committee Draft East Africa Standard specifies requirements, sampling and test methods for single use plastic cutlery, which are intended for use in contact with food and drinks up to a maximum service temperature of 100 ˚C. The Committee Draft East Africa Standard does not cover biodegradable single-use plastic cutlery.</t>
  </si>
  <si>
    <t>Tableware and kitchenware, of plastics (HS code(s): 392410); Other rubber and plastics products (ICS code(s): 83.140.99); Disposable plastic cutlery</t>
  </si>
  <si>
    <t>392410 - Tableware and kitchenware, of plastics</t>
  </si>
  <si>
    <r>
      <rPr>
        <sz val="11"/>
        <rFont val="Calibri"/>
      </rPr>
      <t>https://members.wto.org/crnattachments/2026/TBT/UGA/26_00074_00_e.pdf</t>
    </r>
  </si>
  <si>
    <t>EAS 1086, Plastics codes for resin identification on plastic productsASTM D790, Standard Test Methods for Flexural Properties of Unreinforced and Reinforced Plastics and Electrical Insulating MaterialsISO 11737-1:2018, Sterilization of health care products — Microbiological methodsGB 18006-2008, General requirement of disposable plastic tablewareUS 1675:2017, Determination of overall migration of constituents of plastic materials and articles intended to come in contact with foodstuffs — Method of analysisUS 1659:2017, Materials in contact with food — Requirements for packaging materials</t>
  </si>
  <si>
    <t>Draft for the Use Restrictions and Labeling Requirements of Inulin Produced by Fructosyltransferase as a Food Ingredient</t>
  </si>
  <si>
    <t>Food ingredients to be used in food</t>
  </si>
  <si>
    <t>110820 - Inulin</t>
  </si>
  <si>
    <t>Food safety; Human health; Labelling</t>
  </si>
  <si>
    <r>
      <rPr>
        <sz val="11"/>
        <rFont val="Calibri"/>
      </rPr>
      <t>https://members.wto.org/crnattachments/2026/SPS/TPKM/26_00017_00_x.pdf
https://members.wto.org/crnattachments/2026/SPS/TPKM/26_00017_00_e.pdf</t>
    </r>
  </si>
  <si>
    <t>Implementation Rules CNCA-C05-01:2025 of the Compulsory Product Certification Electric Tools of the P.R.C.</t>
  </si>
  <si>
    <t>This document specifies the scope of application, certification basis standards, certification modes, certification unit division, certification application, certification implementation, post-certification supervision, certification certificates, certification marks, fees, and certification responsibilities for compulsory product certification of electric tools._x000D_
This document applies to the implementation of the compulsory product certification for electric tools.</t>
  </si>
  <si>
    <t>Electric tools (HS code(s): 84671; 846721; 846729); (ICS code(s): 25.140.20; 33.100)</t>
  </si>
  <si>
    <t>846721 - Drills of all kinds for working in the hand, with self-contained electric motor; 846729 - Electromechanical tools for working in the hand, with self-contained electric motor (excl. saws and drills); 84671 - - Pneumatic:</t>
  </si>
  <si>
    <t>25.140.20 - Electric tools; 33.100 - Electromagnetic compatibility (EMC)</t>
  </si>
  <si>
    <r>
      <rPr>
        <sz val="11"/>
        <rFont val="Calibri"/>
      </rPr>
      <t>https://members.wto.org/crnattachments/2026/TBT/CHN/26_00050_00_x.pdf</t>
    </r>
  </si>
  <si>
    <t>Implementation Rules CNCA-C06-01:2025 of Compulsory Product Certification  Electric Welding Machine of the P.R.C.</t>
  </si>
  <si>
    <t>This document specifies the scope of application, certification basis standards, certification modes, certification unit division, certification application, certification implementation, post-certification supervision, certification certificates, CCC marks, fees, and certification responsibilities for compulsory product certification of electric welding machine._x000D_
This document applies to the implementation of compulsory product certification for Electric Welding Machine.</t>
  </si>
  <si>
    <t>Electric welding machine (HS code(s): 845640; 85153; 851580); (ICS code(s): 25.160.30)</t>
  </si>
  <si>
    <t>85153 - - Machines and apparatus for arc (including plasma arc) welding of metals:; 851580 - Electric machines and apparatus for laser or other light or photon beam, ultrasonic, electron beam, magnetic pulse or plasma arc welding; electric machines and apparatus for hot spraying of metals, metal carbides or cermets (excl. metal spray guns specified elsewhere); 845640 - Machine tools for working any material by removal of material, operated by plasma arc processes</t>
  </si>
  <si>
    <t>25.160.30 - Welding equipment</t>
  </si>
  <si>
    <r>
      <rPr>
        <sz val="11"/>
        <rFont val="Calibri"/>
      </rPr>
      <t>https://members.wto.org/crnattachments/2026/TBT/CHN/26_00052_00_x.pdf</t>
    </r>
  </si>
  <si>
    <t>Implementation Rules CNCA-C02-02：2025 of Thermal-links and Fuse-links of the P.R.C.</t>
  </si>
  <si>
    <t>This document specifies the scope of application, certification basis standards, certification modes, certification unit division, certification application, certification implementation, post-certification supervision, certification certificates, certification marks, fees, and certification responsibilities for compulsory product certification of thermal-links, cartridge fuse-links and sub-miniature fuse-links of Miniature fuses._x000D_
This document applies to the implementation of the compulsory product certification for  Thermal-links, Cartridge fuse-links and Sub-miniature fuse-links of Miniature fuses.</t>
  </si>
  <si>
    <t>Thermal-links, cartridge fuse-links and sub-miniature fuse-links of miniature fuses (HS code(s): 853610); (ICS code(s): 29.120.50)</t>
  </si>
  <si>
    <t>853610 - Fuses for a voltage &lt;= 1.000 V</t>
  </si>
  <si>
    <t>29.120.50 - Fuses and other overcurrent protection devices</t>
  </si>
  <si>
    <r>
      <rPr>
        <sz val="11"/>
        <rFont val="Calibri"/>
      </rPr>
      <t>https://members.wto.org/crnattachments/2026/TBT/CHN/26_00053_00_x.pdf</t>
    </r>
  </si>
  <si>
    <t>Reglamento Técnico TECNOLOGÍA DE LOS ALIMENTOS. PRODUCTOS LÁCTEOS. HELADO. ESPECIFICACIONES (Technical Regulations: Food Technology. Milk products. Ice cream. Specifications.)</t>
  </si>
  <si>
    <t>The purpose of the notified Technical Regulations is to establish the following:• Technical Regulations: Food Technology. Milk products. Ice cream. Specifications; (8 pages, in Spanish)The notified Technical Regulations establish the quality, organoleptic, health and technical requirements that ice cream intended for human consumption must meet. The Regulations define classifications, characteristics, and verification, production, surveillance, import, marketing and distribution procedures of the product, whether of national origin or imported.</t>
  </si>
  <si>
    <t>Ice cream and ice confectionery (ICS code: 67.100.40)</t>
  </si>
  <si>
    <t>67.100.40 - Ice cream and ice confectionery</t>
  </si>
  <si>
    <r>
      <rPr>
        <sz val="11"/>
        <rFont val="Calibri"/>
      </rPr>
      <t>https://members.wto.org/crnattachments/2025/SPS/PAN/25_09284_00_s.pdf</t>
    </r>
  </si>
  <si>
    <t>Reglamento Técnico TECNOLOGÍA DE LOS ALIMENTOS. FRUTAS Y HORTALIZAS FRESCAS. NARANJA. ESPECIFICACIONES (Technical Regulations: Food technology. Fresh fruit and vegetables. Orange. Specifications)</t>
  </si>
  <si>
    <t>080510 - Fresh or dried oranges</t>
  </si>
  <si>
    <r>
      <rPr>
        <sz val="11"/>
        <rFont val="Calibri"/>
      </rPr>
      <t>https://members.wto.org/crnattachments/2025/SPS/PAN/25_09289_00_s.pdf</t>
    </r>
  </si>
  <si>
    <t>Draft Veterinary Health Certificate for Import of Porcine Semen into India</t>
  </si>
  <si>
    <t>Format ofVeterinary Health Certificate For Porcine Semen Into India.</t>
  </si>
  <si>
    <t>Porcine Semen</t>
  </si>
  <si>
    <r>
      <rPr>
        <sz val="11"/>
        <rFont val="Calibri"/>
      </rPr>
      <t>https://members.wto.org/crnattachments/2026/SPS/IND/26_00005_00_e.pdf</t>
    </r>
  </si>
  <si>
    <t>Draft Veterinary Health Certificate for Import of In Vivo Ovine Embryo into India</t>
  </si>
  <si>
    <t>Format ofVeterinary Health Certificate for import of In Vivo Ovine Embryo into India.</t>
  </si>
  <si>
    <t>In Vivo Ovine Embryo </t>
  </si>
  <si>
    <r>
      <rPr>
        <sz val="11"/>
        <rFont val="Calibri"/>
      </rPr>
      <t>https://members.wto.org/crnattachments/2026/SPS/IND/26_00007_00_e.pdf</t>
    </r>
  </si>
  <si>
    <t>SI 18275 - Welding consumables – Covered electrodes for manual metal arc welding of high-strength steels – Classification</t>
  </si>
  <si>
    <t>The requirements of the Israeli Mandatory Standard SI 18275 on welding consumables are declared voluntary. _x000D_
This declaration was published in Israel's Official Gazette, Section of Government Notices, no. 12191, and came into effect immediately. </t>
  </si>
  <si>
    <r>
      <rPr>
        <sz val="11"/>
        <rFont val="Calibri"/>
      </rPr>
      <t>https://members.wto.org/crnattachments/2024/TBT/ISR/24_02229_00_x.pdf</t>
    </r>
  </si>
  <si>
    <t>Proyecto de Norma Oficial Mexicana PROY-NOM-023-ASEA-2025, Estaciones de Servicio con fin Específico para Expendio al Público de gasolinas y/o diésel para Vehículos Automotores (cancela a la NOM-005-ASEA-2016, Diseño, construcción, operación y Mantenimiento de Estaciones de Servicio para almacenamiento y expendio de diésel y gasolinas).</t>
  </si>
  <si>
    <t>The notified draft Official Mexican Standard establishes the technical specifications and requirements regarding industrial safety, operational safety and environmental protection, which must be applied during the design, construction, operation and maintenance stages, as well as the pre-lease security review of service stations for the purpose of selling gasoline and/or diesel for motor vehicles, which shall apply throughout the national territory and areas where the Nation exercises its sovereignty and jurisdiction, shall be generally enforced and shall be mandatory for all Regulated Persons undertaking the design, construction, operation and maintenance stages, as well as the pre-lease security review of service stations for the purpose of selling gasoline and/or diesel for motor vehicles.The draft text addresses the following aspects:(a) Requirements for the design and construction stages by discipline: civil, mechanical and electrical engineering and safety systems.(b) Update of the manufacturing materials for double-walled storage tanks.(c) Preparation of a project manual, containing plans and technical specifications with regard to civil, mechanical and electrical engineering and safety systems.(d) Risk scenarios and interactions to be evaluated as part of the risk analysis for the hydrocarbons sector.(e) Requirements for preparing a mechanical integrity report for each storage tank and for the pipelines.(f) Requirements for undertaking the pre-lease security review.(g) Environmental protection specifications for site preparation and construction.(h) Safety measures that must be included in the service station operation and maintenance procedures.(i) Requirements for evaluating the mechanical integrity of the storage tank and determining how long it may continue to used after the expiration date specified in its manufacturing certificate.(j) Requirements for the reinforcement or construction of double-walled storage tanks through on-site conversion.(k) Requirements to demonstrate the professional competence of service station supervisors.(l) Conformity assessment procedure, detailed by stage, for obtaining the design, construction, operation and maintenance certificates.(m) Requirements for submitting the operation and maintenance certificates to the Agency.</t>
  </si>
  <si>
    <t>Aplica en todo el territorio nacional y zonas donde la Nación ejerza su soberanía y jurisdicción y es de observancia general y obligatoria para todos los Regulados que lleven a cabo las etapas de Diseño, Construcción, Operación y Mantenimiento, así como la Revisión de Seguridad de Pre-arranque de Estaciones de Servicio con fin Específico para Expendio al Público de gasolinas y/o diésel para Vehículos Automotores.</t>
  </si>
  <si>
    <r>
      <rPr>
        <sz val="11"/>
        <rFont val="Calibri"/>
      </rPr>
      <t>https://members.wto.org/crnattachments/2026/TBT/MEX/26_00070_00_s.pdf</t>
    </r>
  </si>
  <si>
    <t>The following existing regulatory documents, or those replacing or amending them, must be consulted in order to correctly implement the notified draft Mexican Official Standard (NOM):• NOM-001-SEDE-2012, Instalaciones eléctricas (utilización). Published in the Official Journal on 29 November 2012, and amendments thereto.• NOM-005-SCFI-2017, Instrumentos de medición-Sistema para medición y despacho de gasolina y otros combustibles líquidos con un gasto máximo de 250 L/min-Especificaciones, métodos de prueba y de verificación (Annulling NOM-005-SCFI-2011). Published in the Official Journal on 10 October 2018, and amendments thereto.</t>
  </si>
  <si>
    <t>Proyecto de Resolución GMC Nº 03/25 Rev. 1 - Reglamento Técnico MERCOSUR para Rotulado de Alimentos Envasados (Derogación de la Resolución GMC N°06/94 y 26/03)</t>
  </si>
  <si>
    <t>The notified draft resolution corresponds to GMC Resolutions No. 26/03 and No. 06/94, establishing general labelling requirements for food packaged in the absence of the consumer, including specifications to improve the readability of the information.</t>
  </si>
  <si>
    <r>
      <rPr>
        <sz val="11"/>
        <rFont val="Calibri"/>
      </rPr>
      <t>https://members.wto.org/crnattachments/2026/TBT/ARG/26_00066_00_s.pdf</t>
    </r>
  </si>
  <si>
    <t>GMC Resolution No. 26/03 http://www.puntofocal.gob.ar/doc/r_gmc_26-03.pdfGMC Resolution No. 06/94 http://www.puntofocal.gob.ar/doc/r_gmc_55-97.pdf</t>
  </si>
  <si>
    <t>Publication of RSS-252, Issue 3 - Intelligent Transportation Systems’ (ITS) On-Board Units (OBUs) in the 5895-5925 MHz Band</t>
  </si>
  <si>
    <t>Notice is hereby given that Innovation, Science and Economic Development Canada (ISED) has published the following document:Radio Standards Specification RSS-252 — Intelligent Transportation Systems’ (ITS) On-Board Units (OBUs) in the 5895-5925 MHz Band, which sets out certification requirements for licence-exempt radio apparatus operating in the 5895-5925 MHz band.</t>
  </si>
  <si>
    <t>Radiocommunications (ICS 33.060)</t>
  </si>
  <si>
    <t>Reglamento Técnico TECNOLOGÍA DE LOS ALIMENTOS. PRODUCTOS LÁCTEOS. QUESO NO MADURADO INCLUIDO QUESO FRESCO. ESPECIFICACIONES; </t>
  </si>
  <si>
    <t>The purpose of the notified Technical Regulations is to establish the following:• Technical Regulations: Food technology. Dairy products. Unripened or uncured cheese, including fresh cheese. Specifications; (7 pages, in Spanish)The notified Technical Regulations establish the technical and sanitary provisions for unripened or uncured cheese, including fresh cheese. They apply to the manufacturing, handling, distribution and marketing of these products.</t>
  </si>
  <si>
    <r>
      <rPr>
        <sz val="11"/>
        <rFont val="Calibri"/>
      </rPr>
      <t>https://members.wto.org/crnattachments/2026/TBT/PAN/26_00092_00_s.pdf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</si>
  <si>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1978. General Standard for Cheese. Codex Alimentarius Standard, CXS 283-1978. Codex Alimentarius Commission. Rome.</t>
  </si>
  <si>
    <t>Implementation Rules CNCA-C11-07 of the Compulsory Certification for Motor Vehicle External Lighting and Light Signaling Devices of the P.R.C.</t>
  </si>
  <si>
    <t>This document specifies the scope of application, certification standards, certification modes, certification unit division, principles for classifying manufacturers, certification application, certification implementation, post-certification supervision, certification certificates, certification marks, fees, certification responsibilities, and detailed certification implementation rules for compulsory product certification of motor vehicle external lighting and light signaling devices_x000D_
This document applies to motor vehicle external lighting and light signaling devices. </t>
  </si>
  <si>
    <t>Motor vehicle external lighting and light signaling devices (HS code(s): 851220; 851290); (ICS code(s): 43.040.20)</t>
  </si>
  <si>
    <t>851220 - Electrical lighting or visual signalling equipment for motor vehicles (excl. lamps of heading 8539); 851290 - Parts of electrical lighting or signalling equipment, windscreen wipers, defrosters and demisters of a kind used for cycles and motor vehicles, n.e.s.</t>
  </si>
  <si>
    <r>
      <rPr>
        <sz val="11"/>
        <rFont val="Calibri"/>
      </rPr>
      <t>https://members.wto.org/crnattachments/2026/TBT/CHN/26_00055_00_x.pdf</t>
    </r>
  </si>
  <si>
    <t>Draft of National Technical Regulation for Iris biometrics</t>
  </si>
  <si>
    <t>This draft National Technical Regulation stipulates technical requirements on iris biometrics in compliance with Identity Law of Viet NamThis draft National Technical Regulation applies to:- Police officers of relevant authorities and localities who directly responsible for the collection, management and use of the iris biometric data for the implement the Identity Law, - Organizations and individuals involved in the procurement, importation, trading, production and manufacture of iris imaging devices for the implementation the Identity Law.</t>
  </si>
  <si>
    <t>Iris imaging device</t>
  </si>
  <si>
    <r>
      <rPr>
        <sz val="11"/>
        <rFont val="Calibri"/>
      </rPr>
      <t>https://members.wto.org/crnattachments/2025/TBT/VNM/25_09254_00_x.pdf</t>
    </r>
  </si>
  <si>
    <t>- Identity Law of Viet Nam – Law no. 26/2023/QH15 dated November 27, 2023;- ICAO 9303;- ANSI/NIST-ITL 1-2011, revised in 2015;- ISO/IEC 19794-6: Iris image data- ISO/IEC 29794-6: Information technology — Biometric sample quality — Iris image data;- ANSI INCITS 379: Iris image interchange format;- ISO/IEC 39794-6: Information technology — Extensible biometric data interchange formats — Iris image data;- IEC 62471, IEC 60825-1.</t>
  </si>
  <si>
    <t>Draft Veterinary Health Certificate for Import of Ox Bile into India</t>
  </si>
  <si>
    <t>Format ofVeterinary Health Certificate for Ox Bile into India. </t>
  </si>
  <si>
    <t>Ox Bile</t>
  </si>
  <si>
    <r>
      <rPr>
        <sz val="11"/>
        <rFont val="Calibri"/>
      </rPr>
      <t>https://members.wto.org/crnattachments/2026/SPS/IND/26_00006_00_e.pdf</t>
    </r>
  </si>
  <si>
    <t>Reglamento Técnico TECNOLOGÍA DE LOS ALIMENTOS. CEREALES, GRANOS Y HARINAS. ARROZ EN CÁSCARA. ESPECIFICACIONES; </t>
  </si>
  <si>
    <t>The purpose of the notified Technical Regulations is to establish the following:• Technical Regulations: Food technology. Cereals, grains and flours. Rice in the husk. Specifications; (17 pages, in Spanish)The notified Technical Regulations establish the quality requirements that rice in the husk (Oryza sativa) must meet.</t>
  </si>
  <si>
    <t>Cereales, leguminosas y productos derivados (Código(s) de la ICS: 67.060)</t>
  </si>
  <si>
    <r>
      <rPr>
        <sz val="11"/>
        <rFont val="Calibri"/>
      </rPr>
      <t>https://members.wto.org/crnattachments/2026/TBT/PAN/26_00078_00_s.pdf</t>
    </r>
  </si>
  <si>
    <t>• FAO and WHO. 1995. Codex General standard for contaminants and toxins in food and feed. Codex Alimentarius Standard, CXS 193-1995. Codex Alimentarius Commission. Rome.• FAO and WHO. 1969. General Principles of Food Hygiene. Codex Alimentarius Code of Practice, No. CXC 1-1969. Codex Alimentarius Commission. Rome.• FAO and WHO. 1997. Principles and Guidelines for the Establishment and Application of Microbiological Criteria Related to Foods. Codex Alimentarius Guidelines, CXG 21-1997. Codex Alimentarius Commission. Rome.• FAO and WHO. 1999. Recommended Methods of Analysis and Sampling. Codex Alimentarius Standard, No. CXS 234-1999. Codex Alimentarius Commission. Rome.• FAO and WHO. 1995. Standard for rice. Codex Alimentarius Standard, No. CXS 198-1995. Codex Alimentarius Commission. Rome.</t>
  </si>
  <si>
    <t>Reglamento Técnico TECNOLOGÍA DE LOS ALIMENTOS. PRODUCTOS LÁCTEOS. HELADO. ESPECIFICACIONES; </t>
  </si>
  <si>
    <t>The purpose of the notified Technical Regulations is to establish the following:• Technical Regulations: Food technology. Dairy products. Ice cream. Specifications; (8 pages, in Spanish)The notified Technical Regulations establish the quality, organoleptic, health and technical requirements that ice cream intended for human consumption must meet. The Regulations define classifications, characteristics, and verification, production, surveillance, import, marketing and distribution procedures of the product, whether of national origin or imported.</t>
  </si>
  <si>
    <t>Helados y elaboración de helados (Código(s) de la ICS: 67.100.40)</t>
  </si>
  <si>
    <r>
      <rPr>
        <sz val="11"/>
        <rFont val="Calibri"/>
      </rPr>
      <t>https://members.wto.org/crnattachments/2026/TBT/PAN/26_00095_00_s.pdf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</si>
  <si>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1978. General Standard for Cheese. Codex Alimentarius Standard, CXS 283-1978. Codex Alimentarius Commission. Rome.</t>
  </si>
  <si>
    <t>Implementation Rules CNCA-C11-14 of the Compulsory Certification for Vehicle Travelling Data Recorder the P.R.C.</t>
  </si>
  <si>
    <t>This document specifies the scope of application,certification basis standards, certification modes, certification unit division, certification application, certification implementation, post-certification supervision, certification certificates, CCC marks, fees, and certification responsibilities for compulsory product certification of vehicle travelling data recorder._x000D_
This document applies to the implementation of the compulsory product certification for Vehicle travelling data recorder.</t>
  </si>
  <si>
    <t>Vehicle travelling data recorder (HS code(s): 910690); (ICS code(s): 43.040.01)</t>
  </si>
  <si>
    <t>910690 - Time of day recording apparatus and apparatus for measuring, recording or otherwise indicating intervals of time, with clock or watch movement or with synchronous motor (excl. clocks of heading 9101 to 9105, time registers and time recorders)</t>
  </si>
  <si>
    <t>43.040.01 - Road vehicle systems in general</t>
  </si>
  <si>
    <r>
      <rPr>
        <sz val="11"/>
        <rFont val="Calibri"/>
      </rPr>
      <t>https://members.wto.org/crnattachments/2026/TBT/CHN/26_00057_00_x.pdf</t>
    </r>
  </si>
  <si>
    <t>DEAS 1306:2025, Plastic comb — Specification, First Edition</t>
  </si>
  <si>
    <t>This Working Draft East African Standard specifies requirements, sampling, and test methods for plastic combs. This standard covers personal grooming combs (such as fine-toothed, wide-toothed and styling combs), hair polish comb, barber combs, and animal grooming combs (for example, plastic curry combs with grip handles or straps).</t>
  </si>
  <si>
    <t>Combs, hair-slides and the like of hard rubber or plastics (HS code(s): 961511); Other rubber and plastics products (ICS code(s): 83.140.99); Plastic comb</t>
  </si>
  <si>
    <t>961511 - Combs, hair-slides and the like of hard rubber or plastics</t>
  </si>
  <si>
    <r>
      <rPr>
        <sz val="11"/>
        <rFont val="Calibri"/>
      </rPr>
      <t>https://members.wto.org/crnattachments/2026/TBT/UGA/26_00075_00_e.pdf</t>
    </r>
  </si>
  <si>
    <t>ISO 178, Plastics — Determination of flexural properties EAS 1086, Plastics — Codes for resin identification on plastic products ISO 2859-1, Sampling procedures for inspection by attributes, Part 1: Sampling schemes indexed by acceptance quality limit (AQL) for lot-by-lot inspectionASTM D1822 – Standard Test Method for Tensile-Impact Energy to Break Plastic SpecimensASTM D1525-25, Standard Test Method for Vicat Softening Temperature of PlasticsIEC 60695-10-2, Fire hazard testing - Part 10-2: Abnormal heat - Ball pressure test method</t>
  </si>
  <si>
    <t>Draft of the Egyptian Standard ES 355-1 for “Honey and method of analysis - Part: 1 Honey”</t>
  </si>
  <si>
    <t>This standard specifies the basic requirements and descriptive criteria for honey intended for direct consumption.</t>
  </si>
  <si>
    <t>Sugar and sugar products (ICS code(s): 67.180.10)</t>
  </si>
  <si>
    <t>040900 - Natural honey; 1702 - Other sugars, incl. chemically pure lactose, maltose, glucose and fructose, in solid form; sugar syrups not containing added flavouring or colouring matter; artificial honey, whether or not mixed with natural honey; caramel</t>
  </si>
  <si>
    <t>Reglamento Técnico TECNOLOGÍA DE LOS ALIMENTOS. FRUTAS Y HORTALIZAS FRESCAS. LIMA-LIMÓN. ESPECIFICACIONES (Technical Regulations: Food technology. Fresh fruit and vegetables. Limes and lemons. Specifications)</t>
  </si>
  <si>
    <t>The purpose of the notified Technical Regulations is to establish the following:• Technical Regulations: Food Technology. Fresh fruit and vegetables. Orange. Specifications; (10 pages, in Spanish)The purpose of the notified Technical Regulations is to establish the general, quality and safety requirements that limes and lemons must meet to be consumed fresh, marketed and/or used as a raw ingredient for industrial processing.</t>
  </si>
  <si>
    <t>080550 - Fresh or dried lemons "Citrus limon, Citrus limonum" and limes "Citrus aurantifolia, Citrus latifolia"</t>
  </si>
  <si>
    <r>
      <rPr>
        <sz val="11"/>
        <rFont val="Calibri"/>
      </rPr>
      <t>https://members.wto.org/crnattachments/2025/SPS/PAN/25_09288_00_s.pdf</t>
    </r>
  </si>
  <si>
    <t>Draft Handing Regulation for Per- and Polyfluoroalkyl Substances (PFAS) in Foods</t>
  </si>
  <si>
    <t>This handing regulation aims to set maximum levels for PFOS, PFOA, PFNA, PFHxS and their sum in foods.</t>
  </si>
  <si>
    <t>Foods</t>
  </si>
  <si>
    <r>
      <rPr>
        <sz val="11"/>
        <rFont val="Calibri"/>
      </rPr>
      <t>https://members.wto.org/crnattachments/2025/SPS/TPKM/25_09263_00_x.pdf</t>
    </r>
  </si>
  <si>
    <t>Reglamento Técnico TECNOLOGÍA DE LOS ALIMENTOS. PRODUCTOS CÁRNICOS. PRODUCTOS CÁRNICOS ELABORADOS. ESPECIFICACIONES; </t>
  </si>
  <si>
    <t>The purpose of the notified Technical Regulations is to establish the following:• Technical Regulations: Food technology. Meat products. Processed meat products. Specifications; (21 pages, in Spanish)The notified Technical Regulations establish the specifications that processed meat products, including those of poultry, must meet.</t>
  </si>
  <si>
    <r>
      <rPr>
        <sz val="11"/>
        <rFont val="Calibri"/>
      </rPr>
      <t>https://members.wto.org/crnattachments/2026/TBT/PAN/26_00098_00_s.pdf</t>
    </r>
  </si>
  <si>
    <t>Reglamento Técnico TECNOLOGÍA DE LOS ALIMENTOS. PRODUCTOS LÁCTEOS. EVALUACIÓN DE LA CONFORMIDAD; </t>
  </si>
  <si>
    <t>The purpose of the notified Technical Regulations is to establish the following:• Technical Regulations: Food technology. Milk products. Conformity assessment; (8 pages, in Spanish)The purpose of the notified Technical Regulations is to establish the conformity assessment procedures applicable to milk products, in order to verify compliance with the current Technical Regulations, to protect consumer health, and to guarantee fair trade practices in the territory of the Republic of Panama.G/TBT/N/PAN/153- 2 -</t>
  </si>
  <si>
    <t>Leche y productos lácteos (Código(s) de la ICS: 67.100)</t>
  </si>
  <si>
    <r>
      <rPr>
        <sz val="11"/>
        <rFont val="Calibri"/>
      </rPr>
      <t>https://members.wto.org/crnattachments/2026/TBT/PAN/26_00096_00_s.pdf</t>
    </r>
  </si>
  <si>
    <t>The draft of the Egyptian Standard ES 164-1-2 for “Domestic gas cooking appliances- safety — part 1-2: normative requirements”</t>
  </si>
  <si>
    <t>Products covered:ICS 97.040.20 ) Cooking ranges, working tables, ovens and similar appliances.This addendum concerns the notification of the draft of the Egyptian Standard ES 164-1-2 for "Domestic gas cooking appliances- safety — part 1-2: normative requirements " (21 pages, in English).It should be noted that the Ministerial Decree No. 423/2005 (25 pages, in Arabic) which was formerly notified in G/TBT/N/EGY/3 dated 14 December 2005, and the Ministerial Decree No. 1002/2017 (3 pages, in Arabic) which was formerly notified in G/TBT/N/EGY/3/Add.8 dated 10 January 2018, mandated among others the earlier versions of this Standard.Worth mentioning is that this standard has been formulated according to National studies.Producers and importers are kept informed of any amendments in the Egyptian standards through the publication of administrative orders in the official gazette.Proposed date of adoption: To be determined.Proposed date of entry into force: To be determined.Agency or authority designated to handle comments and text available from:National Enquiry PointEgyptian Organization for Standardization and Quality16 Tadreeb El-Modarrebeen St., Ameriya, Cairo - EgyptE-mail: eos@eos.org.eg/eos.tbt@eos.org.egWebsite: http://www.eos.org.egTel: + (202) 22845528Fax: + (202) 22845504</t>
  </si>
  <si>
    <t>Amendment of the grading criteria for bull (beef cattle) and boar for breeding</t>
  </si>
  <si>
    <t>This is to notify the proposed revision of the grading criteria for bull (beef cattle) and boar used for breeding in Japan. The grading criteria related to breed, ability, and body type have been set respectively, and only the criteria of ability, which is not applied to imported bull and boar, will be revised in the proposed revision. The background is as follows:Males of domesticated animals used for breeding shall obtain a breeding certificate from the Minister of Agriculture, Forestry and Fisheries in accordance with the Act on Improvement and Increased Production of Livestock.In the breeding certificate, grades according to breed, ability and body type are described, and the grades are determined based on the criteria published by MAFF.The grading criteria for bull (beef cattle) and boar will be revised to conform with the Livestock Improvement and Growth Target published in April 2025.</t>
  </si>
  <si>
    <t>Bull (beef cattle) and boar for breeding; Live bovine animals (HS 0102); Live swine (HS 0103)</t>
  </si>
  <si>
    <t>0103 - Live swine; 0102 - Live bovine animals</t>
  </si>
  <si>
    <t>To promote the improvement and breeding of livestock.</t>
  </si>
  <si>
    <r>
      <rPr>
        <sz val="11"/>
        <rFont val="Calibri"/>
      </rPr>
      <t>https://members.wto.org/crnattachments/2026/TBT/JPN/26_00072_00_x.pdf
https://members.wto.org/crnattachments/2026/TBT/JPN/26_00072_01_x.pdf</t>
    </r>
  </si>
  <si>
    <t>This revision is to be published in the Official Gazette, "KANPO". (Available in Japanese)Act on Improvement and Increased Production of Livestockhttps://laws.e-gov.go.jp/law/325AC0000000209 Ministerial Order for enforcement of the Act on Improvement and Increased Production of Livestockhttps://laws.e-gov.go.jp/law/325M50010000096/20201001_502M60000200064</t>
  </si>
  <si>
    <t>SI 3580 - Welding consumables — Covered electrodes for manual metal arc welding of creep-resisting steels — Classification</t>
  </si>
  <si>
    <t>The requirements of the Israeli Mandatory Standard SI 3580 on welding consumables are declared voluntary. _x000D_
This declaration was published in Israel's Official Gazette, Section of Government Notices, no. 12191, and came into effect immediately. </t>
  </si>
  <si>
    <r>
      <rPr>
        <sz val="11"/>
        <rFont val="Calibri"/>
      </rPr>
      <t>https://members.wto.org/crnattachments/2024/TBT/ISR/24_02227_00_x.pdf</t>
    </r>
  </si>
  <si>
    <t>Regulations Amending the Motor Vehicle Safety Regulations (Theft Protection)</t>
  </si>
  <si>
    <t>Transport Canada is proposing regulatory amendments to update the Motor Vehicle Safety Regulations (MVSR), specifically Canada Motor Vehicle Standard (CMVSS) 114 – Theft Protection and Rollaway Prevention, which would replace existing references to outdated vehicle immobilization system standards with newer versions. The objective of the proposed regulatory amendments is to replace references to outdated vehicle immobilization system standards with more recent versions that align with the latest international immobilization system standards for theft protection. The proposed amendments would replace existing references to outdated vehicle immobilization system standards with newer versions. The proposed amendments would replace the static incorporated by reference standard CAN/ULC-S338-98, with ANSI/CAN/UL/ULC 338:2025 and would adopt the general and particular specifications set out in Section 5 of UN Regulation No. 162, through ambulatory incorporation by reference of the 00 series of amendments. The proposed amendments would repeal the requirements under subsections (8) to (21) of CMVSS 114 (developed by Transport Canada), and references to UN Regulations No. 97 and No. 116. Finaly, the proposed amendments would update the reference from CAN/ULC-S338-98 in subsection 12.1(2)(c) of the MVSR, to ANSI/CAN/UL/ULC 338:2025, which would ensure imported vehicles meet, or are modified to meet the Canadian safety requirements, aligning with the proposed amendments to CMVSS 114. The proposed amendments would provide a two-year transitional period for mandatory compliance with the proposed regulatory amendments.</t>
  </si>
  <si>
    <t>Electrical ignition or starting equipment of a kind used for spark-ignition or compression-ignition internal combustion engines (HS 8511)</t>
  </si>
  <si>
    <t>8511 - Electrical ignition or starting equipment of a kind used for spark-ignition or compression-ignition internal combustion engines, e.g. ignition magnetos, magneto-dynamos, ignition coils, sparking plugs, glow plugs and starter motors; generators, e.g. dynamos and alternators, and cut-outs of a kind used in conjunction with such engines; parts thereof; 8511 - Electrical ignition or starting equipment of a kind used for spark-ignition or compression-ignition internal combustion engines, e.g. ignition magnetos, magneto-dynamos, ignition coils, sparking plugs, glow plugs and starter motors; generators, e.g. dynamos and alternators, and cut-outs of a kind used in conjunction with such engines; parts thereof</t>
  </si>
  <si>
    <t>43.040.10 - Electrical and electronic equipment; 43.040.10 - Electrical and electronic equipment</t>
  </si>
  <si>
    <t>The objective of this consultation is to post information on the Let’s Talk Transportation web page and seek industry and public feedback on options to move forward with updating the CVMSS.</t>
  </si>
  <si>
    <t>Reglamento Técnico TECNOLOGÍA DE LOS ALIMENTOS. FRUTAS Y HORTALIZAS FRESCAS. AGUACATE. ESPECIFICACIONES; </t>
  </si>
  <si>
    <t>The purpose of the notified Technical Regulations is to establish the following:• Technical Regulations - Food technology. Fresh fruit and vegetables. Avocado. Specifications; (10 pages, in Spanish)The purpose of the notified Regulations is to establish the technical and quality specifications that avocados must meet.</t>
  </si>
  <si>
    <r>
      <rPr>
        <sz val="11"/>
        <rFont val="Calibri"/>
      </rPr>
      <t>https://members.wto.org/crnattachments/2026/TBT/PAN/26_00081_00_s.pdf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</si>
  <si>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2003. Code of Hygienic Practice for Fresh Fruits and Vegetables. Codex Alimentarius Code of Practice, CXC 53-2003.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1999. Code of Practice for Packaging and Transport of Fresh Fruit and Vegetables. Codex Alimentarius Standard, CXC 44-1995. Codex Alimentarius Commission. Rome.</t>
  </si>
  <si>
    <t>Reglamento Técnico TECNOLOGÍA DE LOS ALIMENTOS. FRUTAS Y HORTALIZAS FRESCAS. PIÑA. ESPECIFICACIONES; </t>
  </si>
  <si>
    <t>The purpose of the notified Technical Regulations is to establish the following:• Technical Regulations: Food technology. Fresh fruit and vegetables. Pineapple. Specifications; (10 pages, in Spanish)The purpose of the notified Technical Regulations is to establish the general, quality and safety requirements that pineapples (Ananas comosus (L.)) must meet to be consumed fresh, marketed and/or used as a raw ingredient for industrial processing.G/TBT/N/PAN/147- 2 -</t>
  </si>
  <si>
    <r>
      <rPr>
        <sz val="11"/>
        <rFont val="Calibri"/>
      </rPr>
      <t>https://members.wto.org/crnattachments/2026/TBT/PAN/26_00083_00_s.pdf</t>
    </r>
  </si>
  <si>
    <t>Resolución 116-2025-IPSA, Establecimiento de Requisitos Fitosanitarios para la Importación de ftabaco en rama (Nicotiana tabacum) origen Peru (Resolution No. 116-2025-IPSA establishing phytosanitary requirements for the importation of unmanufactured tobacco (Nicotiana tabacum) originating in Peru)</t>
  </si>
  <si>
    <t>The notified Resolution establishes the phytosanitary requirements for the importation of unmanufactured tobacco (Nicotiana tabacum) originating in Peru.1. The shipment must be accompanied by an official phytosanitary certificate, stating in the additional declaration that the plant product has been officially inspected by the national plant protection organization of the country of origin and found free of: Stegobium paniceum.2.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</si>
  <si>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Unmanufactured tobacco (Nicotiana tabacum)</t>
  </si>
  <si>
    <t>Human health; Territory protection</t>
  </si>
  <si>
    <r>
      <rPr>
        <sz val="11"/>
        <rFont val="Calibri"/>
      </rPr>
      <t>https://members.wto.org/crnattachments/2025/SPS/NIC/25_09273_00_s.pdf</t>
    </r>
  </si>
  <si>
    <t>Implementation Rules CNCA-C04-01:2025 of the Compulsory Product Certification  Small Power Motors of the P.R.C.</t>
  </si>
  <si>
    <t>This document specifies the scope of application, certification basis standards, certification modes, certification unit division, certification application, certification implementation , post-certification supervision, certification certificate, certification mark, fees, and certification responsibilities for compulsory product certification of small power motors._x000D_
This document applies to the implementation of the compulsory product certification for small power motors.</t>
  </si>
  <si>
    <t>Small power motors (HS code(s): 850120; 850131; 850132; 850140; 850151; 850152); (ICS code(s): 29.160.01; 29.160.30)</t>
  </si>
  <si>
    <t>850152 - AC motors, multi-phase, of an output &gt; 750 W but &lt;= 75 kW; 850132 - DC motors and DC generators of an output &gt; 750 W but &lt;= 75 kW (excl. photovoltaic generators); 850151 - AC motors, multi-phase, of an output &gt; 37,5 W but &lt;= 750 W; 850120 - Universal AC-DC motors of an output &gt; 37,5 W; 850131 - DC motors of an output &gt; 37,5 W but &lt;= 750 W and DC generators of an output &lt;= 750 W (excl. photovoltaic generators); 850140 - AC motors, single-phase, of an output &gt; 37,5 W</t>
  </si>
  <si>
    <t>29.160.01 - Rotating machinery in general; 29.160.30 - Motors</t>
  </si>
  <si>
    <r>
      <rPr>
        <sz val="11"/>
        <rFont val="Calibri"/>
      </rPr>
      <t>https://members.wto.org/crnattachments/2026/TBT/CHN/26_00059_00_x.pdf</t>
    </r>
  </si>
  <si>
    <t>Draft Resolution 1361, 11 December 2025.</t>
  </si>
  <si>
    <t>This draft resolution proposes a national legislation that addressing the guidelines and criteria for enforcement by the Brazilian Health Regulatory Agency.</t>
  </si>
  <si>
    <r>
      <rPr>
        <sz val="11"/>
        <rFont val="Calibri"/>
      </rPr>
      <t>https://members.wto.org/crnattachments/2025/TBT/BRA/25_09292_00_x.pdf</t>
    </r>
  </si>
  <si>
    <t>SI 61439 Part 1 - Low-voltage switchgear and controlgear assemblies: General rules</t>
  </si>
  <si>
    <t> Low-voltage switchgear and controlgear assemblies (HS code(s): 853710; 853720); (ICS code(s): 29.130.20)</t>
  </si>
  <si>
    <t>853720 - Boards, cabinets and similar combinations of apparatus for electric control or the distribution of electricity, for a voltage &gt; 1.000 V; 853710 - Boards, cabinets and similar combinations of apparatus for electric control or the distribution of electricity, for a voltage &lt;= 1.000 V; 853710 - Boards, cabinets and similar combinations of apparatus for electric control or the distribution of electricity, for a voltage &lt;= 1.000 V; 853720 - Boards, cabinets and similar combinations of apparatus for electric control or the distribution of electricity, for a voltage &gt; 1.000 V</t>
  </si>
  <si>
    <t>29.130.20 - Low voltage switchgear and controlgear; 29.130.20 - Low voltage switchgear and controlgear</t>
  </si>
  <si>
    <r>
      <rPr>
        <sz val="11"/>
        <rFont val="Calibri"/>
      </rPr>
      <t>https://members.wto.org/crnattachments/2023/TBT/ISR/23_13837_00_x.pdf</t>
    </r>
  </si>
  <si>
    <t>SI 2560 - Welding consumables — Covered electrodes for manual metal arc welding of non-alloy and fine grain steels — Classification</t>
  </si>
  <si>
    <t>The requirements of the Israeli Mandatory Standard SI 2560 on welding consumables are declared voluntary. _x000D_
This declaration was published in Israel's Official Gazette, Section of Government Notices, no. 12191, and came into effect immediately. </t>
  </si>
  <si>
    <t>25.160.20 - Welding consumables; 25.160.20 - Welding consumables</t>
  </si>
  <si>
    <r>
      <rPr>
        <sz val="11"/>
        <rFont val="Calibri"/>
      </rPr>
      <t>https://members.wto.org/crnattachments/2024/TBT/ISR/24_02226_00_x.pdf</t>
    </r>
  </si>
  <si>
    <t>Reglamento Técnico TECNOLOGÍA DE LOS ALIMENTOS. CEREALES, GRANOS Y HARINAS. ARROZ PILADO BLANCO FORTIFICADO. ESPECIFICACIONES; </t>
  </si>
  <si>
    <t>The purpose of the notified Technical Regulations is to establish the following:• Technical Regulations: Food technology. Cereals, grains and flours. Fortified milled white rice. Specifications; (21 pages, in Spanish)The purpose of the notified Technical Regulations is to establish quality requirements and fortification levels for the marketing of fortified milled white rice (Oryza sativa).</t>
  </si>
  <si>
    <r>
      <rPr>
        <sz val="11"/>
        <rFont val="Calibri"/>
      </rPr>
      <t>https://members.wto.org/crnattachments/2026/TBT/PAN/26_00079_00_s.pdf</t>
    </r>
  </si>
  <si>
    <t>• FAO and WHO. 1995. Codex General standard for contaminants and toxins in food and feed. Codex Alimentarius Standard, CXS 193-1995. Codex Alimentarius Commission. Rome.• FAO and WHO. 1969. General Principles of Food Hygiene. Codex Alimentarius Code of Practice, No. CXC 1-1969. Codex Alimentarius Commission. Rome.• FAO and WHO. 1997. Principles and Guidelines for the Establishment and Application of Microbiological Criteria Related to Foods. Codex Alimentarius Guidelines, CXG 21-1997. Codex Alimentarius Commission. Rome.• FAO and WHO. 1999. Recommended Methods of Analysis and Sampling. Codex Alimentarius Standard, No. CXS 234-1999. Codex Alimentarius Commission. Rome.</t>
  </si>
  <si>
    <t>SI 61439 Part 2 - Low-voltage switchgear and controlgear assemblies: Power switchgear and controlgear assemblies</t>
  </si>
  <si>
    <t>Low-voltage switchgear and controlgear assemblies (HS code(s): 8537); (ICS code(s): 29.130.20)</t>
  </si>
  <si>
    <t>8537 - Boards, panels, consoles, desks, cabinets and other bases, equipped with two or more apparatus of heading 8535 or 8536, for electric control or the distribution of electricity, incl. those incorporating instruments or apparatus of chapter 90, and numerical control apparatus (excl. switching apparatus for line telephony or line telegraphy); 8537 - Boards, panels, consoles, desks, cabinets and other bases, equipped with two or more apparatus of heading 8535 or 8536, for electric control or the distribution of electricity, incl. those incorporating instruments or apparatus of chapter 90, and numerical control apparatus (excl. switching apparatus for line telephony or line telegraphy)</t>
  </si>
  <si>
    <t>Protection of human health or safety (TBT); Harmonization (TBT); Reducing trade barriers and facilitating trade (TBT)</t>
  </si>
  <si>
    <r>
      <rPr>
        <sz val="11"/>
        <rFont val="Calibri"/>
      </rPr>
      <t>https://members.wto.org/crnattachments/2023/TBT/ISR/23_13838_00_x.pdf</t>
    </r>
  </si>
  <si>
    <t>Prohibition of Certain Toxic Substances Regulations, 2025: SOR/2025-270</t>
  </si>
  <si>
    <t>The aim of this addendum is to inform WTO Members of the publications of the Prohibition of Certain Toxic Substances Regulations, 2025 (the 2025 Regulations). As notified in G/TBT/N/CAN/673 (dated 18 May 2022), on 14 May 2022, the Government of Canada published the proposed Prohibition of Certain Toxic Substances Regulations, 2022 (the proposed Regulations) in the Canada Gazette, Part I, for a 75-day public comment period that ended on July 28, 2022. Feedback and comments received from stakeholders and other jurisdictions were taken into consideration in the development of the 2025 Regulations. The 2025 Regulations aim to reduce the risk of toxic substances entering the Canadian environment contributing to the protection of Canada’s environment and wildlife. The 2025 Regulations repeal and replace the Prohibition of Certain Toxic Substances Regulations, 2012 (the 2012 Regulations) and introduce restrictions on the manufacture, use, sale and import of Dechlorane Plus (DP) and decabromodiphenyl ethane (DBDPE), and products containing these substances, with some time-limited exemptions (authorized activities). The 2025 Regulations also further restrict the manufacture, use, sale and import of perfluorooctane sulfonate, its salts and precursors (PFOS), perfluorooctanoic acid, its salts and precursors (PFOA), long-chain perfluorocarboxylic acids, their salts and precursors (LC-PFCAs), hexabromocyclododecane (HBCD) and polybrominated diphenyl ethers (PBDEs), and products containing these substances, which were already prohibited, with some exemptions, under the 2012 Regulations. The 2025 Regulations also simplify the current regulatory text by consolidating all substance-specific exemptions into one schedule and provide other minor administrative changes. Specific exemptions are provided under the 2025 Regulations that take into account socio-economic factors, availability of suitable alternatives, consideration of the international context and risks to the environment. These time-limited exemptions provide time for industry to transition to alternatives, taking into consideration the life cycle of product development, as well as certification for safety and product performance standards.Where specific exemptions have not been provided, the 2025 Regulations allow for permits to be issued for one year and renewed twice (for a total maximum of up to three years) to temporarily allow the continued manufacture or import of DP or DBDPE, or products containing these substances, the import of certain products containing PFOA or LC-PFCAs, and the manufacture or import of certain products containing HBCD or decabromodiphenyl ether (decaBDE). Permit applications must be submitted within 30 days of the day on which the 2025 Regulations come into force.The 2025 Regulations will come into force 6 months after the day on which the Regulations are published in the Canada Gazette, Part II, namely on 30 June 2026.</t>
  </si>
  <si>
    <t>Environmental protection (ICS Code: 13.020)</t>
  </si>
  <si>
    <t>Reglamento Técnico TECNOLOGÍA DE LOS ALIMENTOS. FRUTAS Y HORTALIZAS FRESCAS. EVALUACIÓN DE LA CONFORMIDAD; </t>
  </si>
  <si>
    <t>The purpose of the notified Technical Regulations is to establish the following:• Technical Regulations: Food technology. Fresh fruit and vegetables. Conformity assessment; (9 pages, in Spanish)The purpose of the notified Technical Regulations is to establish the conformity assessment procedures applicable to fruit and vegetables, in order to verify compliance with the current Technical Regulations, to protect consumer health, and to guarantee fair trade practices in the territory of the Republic of Panama.</t>
  </si>
  <si>
    <t>Frutas. Hortalizas (Código(s) de la ICS: 67.080)</t>
  </si>
  <si>
    <r>
      <rPr>
        <sz val="11"/>
        <rFont val="Calibri"/>
      </rPr>
      <t>https://members.wto.org/crnattachments/2026/TBT/PAN/26_00089_00_s.pdf</t>
    </r>
  </si>
  <si>
    <t>Draft of National Technical Regulation for Voice biometrics</t>
  </si>
  <si>
    <t>This draft National Technical Regulation stipulates technical requirements on voice biometrics in compliance with Identity Law of Viet Nam, including:- Actual conditions of citizen’s age and voice;- Voice recording devices (micro, soundcard);- Ambient recording conditions;- Recording procedures;- Storage formats.This draft National Technical Regulation applies to:- Police officers in agencies and localities who directly responsible for the receipt, management and use of the voice biometrics to implement the Identity Law, - Organizations and individuals involved in the purchase, import, trade, production and manufacturing of regulated devices.</t>
  </si>
  <si>
    <t>Voice sampling device</t>
  </si>
  <si>
    <t>851762 - Machines for the reception, conversion and transmission or regeneration of voice, images or other data, incl. switching and routing apparatus (excl. telephone sets, telephones for cellular networks or for other wireless networks)</t>
  </si>
  <si>
    <t>33.160.99 - Other audio, video and audiovisual equipment</t>
  </si>
  <si>
    <r>
      <rPr>
        <sz val="11"/>
        <rFont val="Calibri"/>
      </rPr>
      <t>https://members.wto.org/crnattachments/2025/TBT/VNM/25_09253_00_x.pdf</t>
    </r>
  </si>
  <si>
    <t>- Identity Law of Viet Nam – Law no. 26/2023/QH15 dated November 27, 2023;- ISO/EC 19794-1:2011 - Information technology - Biometric data interchange formats - Part 1: Framework;- ISO/EC 19794-13:2018 - Information technology - Biometric data interchange;- ANSI/NIST-ITL 1-2011 - Data Format for the Interchange of Fingerprint, Facial &amp; Other Biometric Information (updated 2015).- TCVN 4510:1988 - Recording studios - Architectural requirements;- TCVN 4511:1988 - Recording studios - Building acoustic requirements;- TCVN 10615-2:2014 (ISO 3382-2:2008) - Acoustics - Measurement of reverberation time in a normal room; - TCVN 11737-3:2016 - Acoustics - Voice audiometry - Part 3: Voice recording methods;- NIST Speaker Recognition Evaluation (SRE) Guidelines: Guidelines from the National Institute of Standards and Technology (NIST) for evaluating the performance of automatic speaker recognition systems (speaker recognition systems); Provides standard datasets, test scenarios and unified evaluation methods; Promotes research and development in the field of voice biometrics;- ANSI S3.5-1997 Methods for Calculation of the Speech Intelligibility Index (S1) - Methods for calculating the Speech Intelligibility Index;- ANSI S1.4-1983 (R2006) Specification for Sound Level Meters - Specifications for sound level meters;- ANSI S1.42-2001 American National Standard Design Response of Weighting Systems for Acoustical Measurements;- ITU-T P.56 - Measurement of speech signal characteristics.</t>
  </si>
  <si>
    <t>Draft Resolution 1364, 11 December 2025</t>
  </si>
  <si>
    <t>This draft resolution proposes a Normative Instruction, that establishes specific requirements for good salt manufacturing practices.</t>
  </si>
  <si>
    <r>
      <rPr>
        <sz val="11"/>
        <rFont val="Calibri"/>
      </rPr>
      <t>https://members.wto.org/crnattachments/2026/SPS/BRA/26_00009_00_x.pdf
Draft: https://anvisalegis.datalegis.net/action/UrlPublicasAction.php?acao=abrirAtoPublico&amp;num_ato=00001364&amp;sgl_tipo=CPB&amp;sgl_orgao=ANVISA/MS&amp;vlr_ano=2025&amp;seq_ato=222&amp;cod_modulo=134&amp;cod_menu=1696
Comment form:  https://pesquisa.anvisa.gov.br/index.php/677939?lang=pt-BR</t>
    </r>
  </si>
  <si>
    <t>Draft Resolution 1366, 11 December 2025</t>
  </si>
  <si>
    <t>This draft resolution proposes a normative instruction that establishes specific good manufacturing practice requirements for processed peanuts and peanut products.</t>
  </si>
  <si>
    <r>
      <rPr>
        <sz val="11"/>
        <rFont val="Calibri"/>
      </rPr>
      <t>https://members.wto.org/crnattachments/2026/SPS/BRA/26_00012_00_x.pdf
Draft: https://anvisalegis.datalegis.net/action/UrlPublicasAction.php?acao=abrirAtoPublico&amp;num_ato=00001366&amp;sgl_tipo=CPB&amp;sgl_orgao=ANVISA/MS&amp;vlr_ano=2025&amp;seq_ato=222&amp;cod_modulo=134&amp;cod_menu=1696
Comment form:  https://pesquisa.anvisa.gov.br/index.php/756612?lang=pt-BR</t>
    </r>
  </si>
  <si>
    <t>Announcement of the Department of Livestock Development, Re: Designation of Areas and Animal Species Subject to Animal Identification Marks, and Criteria, Procedures, and Conditions for Animal Identification Marks, B.E. 2560 (2017)</t>
  </si>
  <si>
    <t>In order to ensure effective implementation of disease prevention and control measures for livestock raised within specific areas, animals transported across provincial boundaries, and animals imported into, exported from, or transiting through Thailand, and to enable traceability back to individual animals, the Department of Livestock Development hereby revises the regulation by repealing the Announcement of the Department of Livestock Development Re: Designation of Areas and Animal Species subject to Identification Marks, and Criteria, Procedures, and Conditions for Animal Identification Marks, B.E. 2559 (2016) dated 19 February 2016, and replacing it with this Announcement, B.E. 2560 (2017) dated 17 May 2017.The key provisions of this Announcement are as follows:1. Areas and Animal Species Subject to Animal Identification MarkingThroughout the country, all live beef cattle, live dairy cattle, live buffaloes, live goats, and live sheep aged over 4 months that are transported across provincial boundaries, as well as those imported into, exported from, or transiting through Thailand, shall also be marked with animal identification marks;2. Procedures for Animal Identification MarkingFor live beef cattle, live dairy cattle, live buffaloes, live goats, and live sheep imported into Thailand by air or sea, the livestock inspectors or veterinarians stationed at the animal quarantine station at the port of entry shall affix temporary animal identification marks, provided that each animal can still be individually identified. Upon arrival of the animals at the designated quarantine facility, permanent identification marks shall be affixed in accordance with this Announcement.</t>
  </si>
  <si>
    <t> Live beef cattle, live dairy cattle, live buffaloes, live goats, and live sheep</t>
  </si>
  <si>
    <t>010221 - Pure-bred cattle for breeding; 010229 - Live cattle (excl. pure-bred for breeding); 010231 - Pure-bred buffalo for breeding; 010239 - Live buffalo (excl. pure-bred for breeding); 010290 - Live bovine animals (excl. cattle and buffalo); 010410 - Live sheep; 010420 - Live goats</t>
  </si>
  <si>
    <r>
      <rPr>
        <sz val="11"/>
        <rFont val="Calibri"/>
      </rPr>
      <t>https://members.wto.org/crnattachments/2025/SPS/THA/25_09262_00_x.pdf</t>
    </r>
  </si>
  <si>
    <t>The draft of the Egyptian Standard ES 164-1-1 for " Domestic gas cooking appliances — Safety Part 1-1: General requirements"(88 pages, in English).</t>
  </si>
  <si>
    <t>Products covered: (ICS: 97.040.20) Cooking ranges, working tables, ovens and similar appliances.This addendum concerns the notification of the draft Egyptian Standard ES 164-1-1 for “Domestic gas cooking appliances — Safety Part 1-1: General requirements"(88 pages, in English).It should be noted that the Ministerial Decree No. 423/2005 (25 pages, in Arabic) which was formerly notified in G/TBT/N/EGY/3 dated 14 December 2005 and the Ministerial Decree No. 1002/2017 (3 pages, in Arabic) which was formerly notified in G/TBT/N/EGY/3/Add.8 dated 10 January 2018, mandated among others the earlier versions of this Standard.Worth mentioning is that this standard adopts the technical content of ISO 21364-1:2025.Producers and importers are kept informed of any amendments in the Egyptian standards through the publication of administrative orders in the official gazette.Proposed date of adoption: To be determined.Proposed date of entry into force: To be determined.Agency or authority designated to handle comments and text available from:National Enquiry PointEgyptian Organization for Standardization and Quality16 Tadreeb El-Modarrebeen St., Ameriya, Cairo - EgyptE-mail: eos@eos.org.eg/eos.tbt@eos.org.egWebsite: http://www.eos.org.egTel: + (202) 22845528Fax: + (202) 22845504</t>
  </si>
  <si>
    <t>The draft of the Egyptian Standard ES 164-1-3 for “Domestic gas cooking appliances — Safety Part 1-3: Particular requirements for gas hobs, gas grills and gas griddles”</t>
  </si>
  <si>
    <t>Products covered: ICS: 97.040.20  (Cooking ranges, working tables, ovens and similar appliances).This addendum concerns the notification of the draft of the Egyptian Standard ES 164-1-3 for " Domestic gas cooking appliances — Safety Part 1-3: Particular requirements for gas hobs, gas grills and gas griddles "(40 pages, in English).It should be noted that the Ministerial Decree No. 423/2005 (25 pages, in Arabic) which was formerly notified in G/TBT/N/EGY/3 dated 14 December 2005 and the Ministerial Decree No. 1002/2017 (3 pages, in Arabic) which was formerly notified in G/TBT/N/EGY/3/Add.8 dated 10 January 2018, mandated among others the earlier versions of this Standard.Worth mentioning is that this standard adopts the technical content of ISO 21364-21:2025Producers and importers are kept informed of any amendments in the Egyptian standards through the publication of administrative orders in the official gazette.Proposed date of adoption: To be determined.Proposed date of entry into force: To be determined.Agency or authority designated to handle comments and text available from:National Enquiry PointEgyptian Organization for Standardization and Quality16 Tadreeb El-Modarrebeen St., Ameriya, Cairo - EgyptE-mail: eos@eos.org.eg/eos.tbt@eos.org.egWebsite: http://www.eos.org.egTel: + (202) 22845528Fax: + (202) 22845504</t>
  </si>
  <si>
    <t>Resolución Exenta N° 10.824 de 2025 que Modifica Resolución No 7.230 de 2013, que establece requisitos fitosanitarios para la importación de plantas, estacas y ramillas de avellano europeo (Corylus avellana), caqui (Diospyros kaki), higuera (Ficus carica), cerezo mongol (Prunus fruticosa), cerezo japonés (Prunus serrulata) y endrino (Prunus spinosa), procedentes de los Estados miembros de la Comunidad Europea (Exempt Resolution No. 10.824 of 2025 amending Resolution No. 7.230 of 2013 establishing phytosanitary requirements for the importation of European hazelnut (Corylus avellana), persimmon (Diospyros kaki), fig (Ficus carica), dwarf cherry (Prunus fruticosa), Japanese cherry (Prunus serrulata) and blackthorn (Prunus spinosa) plants, cuttings and slips from European Community member States)Chile hereby notifies that Exempt Resolution No. 10.824 of 2025, amending Resolution No. 7.230 of 2013 establishing phytosanitary requirements for the importation of European hazelnut (Corylus avellana), persimmon (Diospyros kaki), fig (Ficus carica), dwarf cherry (Prunus fruticosa), Japanese cherry (Prunus serrulata) and blackthorn (Prunus spinosa) plants, cuttings and slips from European Community member States, was published in the Official Journal on 31 December 2025, entering into force on the same date.https://members.wto.org/crnattachments/2026/SPS/CHL/26_00035_00_s.pdf</t>
  </si>
  <si>
    <t>Plants, cuttings and twigs of European hazelnut trees (Corylus avellana), persimmon trees (Diospyros kaki), fig trees (Ficus carica), dwarf cherry trees (Prunus fruticosa), Japanese cherry trees (Prunus serrulata) and blackthorn trees (Prunus spinosa)</t>
  </si>
  <si>
    <r>
      <rPr>
        <sz val="11"/>
        <rFont val="Calibri"/>
      </rPr>
      <t>https://members.wto.org/crnattachments/2026/SPS/CHL/26_00035_00_s.pdf</t>
    </r>
  </si>
  <si>
    <t>Turkish Food Codex Communiqué Amending the Communiqué on Drinking Milk</t>
  </si>
  <si>
    <t>The Turkish Food Codex Communiqué on Drinking Milk (Communiqué No: 2019/12) was previously notified under G/TBT/N/TUR/115 (22 May 2018) and published in the Official Gazette dated 27 February 2019.The presence on the market of drinking milk with varying fat contents (such as 0.1%, 0.5%, etc.) and differing price levels has been found to mislead consumers and to result in unfair competition. In this context, it has been considered necessary to remove the ‘%… fat milk’ category currently included in the Communiqué, to revise the classification of drinking milk according to fat content, and to introduce regulatory provisions concerning the flavour and sugar content of flavoured drinking milk, which is primarily produced for children.This amendment to the Turkish Food Codex Communiqué on Drinking Milk aims to ensure consumer protection, fair competition, and the proper regulation of flavoured drinking milk in line with public health considerations. The Communiqué shall enter into force on the date of its publication, with a transition period granted until 31 December 2026.</t>
  </si>
  <si>
    <t>Drinking milk</t>
  </si>
  <si>
    <r>
      <rPr>
        <sz val="11"/>
        <rFont val="Calibri"/>
      </rPr>
      <t xml:space="preserve">https://members.wto.org/crnattachments/2026/TBT/TUR/modification/26_00094_00_x.pdf
https://www.tarimorman.gov.tr/GKGM/Duyuru/671/Mevzuat-Taslagi-Tgk-Icme-Sutleri-Tebliginde-Degisiklik-Yapilmasina-Dair-Teblig
</t>
    </r>
  </si>
  <si>
    <t>The draft of the Egyptian Standard for" Performance Requirements for Drinking Water Atmospheric Water ‎Generators (AWG)".</t>
  </si>
  <si>
    <t>The draft of the Egyptian standard has been specified to test point of use and commercial drinking water generating systems that are designed to create potable water from humidity. Critical components of these systems include a condenser, storage tank and disinfection control techniques to address microbiological water contamination. Systems may include filtration to reduce chemical and particulate water contamination. Proper design shall include consideration for the energy efficiency of the atmospheric water generator. Worth mentioning is that this draft standard is technically identical with ASSE 1090:2020.</t>
  </si>
  <si>
    <t>13.060.20 - Drinking water</t>
  </si>
  <si>
    <t>Safety requirements</t>
  </si>
  <si>
    <t>ASSE 1090:2020</t>
  </si>
  <si>
    <t>Reglamento Técnico TECNOLOGÍA DE LOS ALIMENTOS. PRODUCTOS LÁCTEOS. QUESO CREMA. ESPECIFICACIONES; </t>
  </si>
  <si>
    <t>The purpose of the notified Technical Regulations is to establish the following:• Reglamento Técnico TECNOLOGÍA DE LOS ALIMENTOS. PRODUCTOS LÁCTEOS. QUESO CREMA. ESPECIFICACIONES (Technical Regulations: Food technology. Milk products. Cream cheese. Specifications); (7 pages, in Spanish)The notified Technical Regulations establish the technical and sanitary provisions for cream cheese. They apply to the manufacturing, handling, distribution and marketing of this product.</t>
  </si>
  <si>
    <r>
      <rPr>
        <sz val="11"/>
        <rFont val="Calibri"/>
      </rPr>
      <t>https://members.wto.org/crnattachments/2026/TBT/PAN/26_00045_00_s.pdf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</si>
  <si>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No.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No. CXS 346-2021. Codex Alimentarius Commission. Rome.• FAO and WHO. 1999. Recommended Methods of Analysis and Sampling. Codex Alimentarius Standard, CXS 234-1999. Codex Alimentarius Commission. Rome.• FAO and WHO. 1978. General Standard for Cheese. Codex Alimentarius Standard, CXS 283-1978. Codex Alimentarius Commission. Rome.</t>
  </si>
  <si>
    <t>DEAS 1309: 2025, Fortified yoghurt — Specification</t>
  </si>
  <si>
    <t>This Draft East African standard specifies requirements, sampling and test methods for fortified yoghurt, fortified alternate culture yoghurt and fortified acidophilus milk intended for human consumption._x000D_
This standard only covers fortified yoghurt products from animal source milk.</t>
  </si>
  <si>
    <t>040320 - Yogurt, whether or not flavoured or containing added sugar or other sweetening matter, fruit, nuts, cocoa, chocolate, spices, coffee, plants, cereals or bakers' wares</t>
  </si>
  <si>
    <r>
      <rPr>
        <sz val="11"/>
        <rFont val="Calibri"/>
      </rPr>
      <t>https://members.wto.org/crnattachments/2025/TBT/RWA/25_09285_00_e.pdf</t>
    </r>
  </si>
  <si>
    <t>AOAC 2001.13, Determination of Vitamin A (Retinol) in food — Liquid ChromatographyAOAC 2004.05, Total folates in cereal and cereal foods — Microbiological Assay-Trienzyme ProcedureAOAC 2011.14, Calcium, Copper, Iron, Magnesium, Manganese, Potassium, Phosphorus, Sodium and Zinc in fortified food products. Microwave Digestion and Inductively Coupled Plasma-Optical Emission Spectrometry\CXC 57, Code of hygienic practice for milk and milk productsCXG 66, Guidelines for the Use of Flavourings\CXS 192, General standard for food additivesEAS 38, Labelling of pre-packaged foods — General requirements\EAS 39, Hygiene in the food and drink manufacturing industry — Code of practiceEAS 803, Nutrition labelling — RequirementsEAS 804, Claims on food — General requirementsEAS 805, Use of nutrition and health claims — RequirementsISO 11290-1, Microbiology of the food chain — Horizontal method for the detection and enumeration of Listeria monocytogenes and of Listeria spp. — Part 1: Detection methodISO 13580, Yogurt — Determination of total solids content (Reference method)ISO 14501, Milk and milk powder — Determination of aflatoxin M1 content — Clean-up by immunoaffinity chromatography and determination by high-performance liquid chromatographyISO 20128, Milk products — Enumeration of presumptive Lactobacillus acidophilus on a selective medium — Colony-count technique at 37 degrees CISO 22662, Milk and milk products — Determination of lactose content by high-performance liquid chromatography (reference method)ISO 23318, Milk, dried milk products and cream — Determination of fat content — Gravimetric methodISO 29981, Milk products — Enumeration of presumptive bifidobacteria — Colony count technique at 37 degrees CISO 4832, Microbiology of food and animal feeding stuffs — Horizontal method for the enumeration of coliforms — Colony-count techniqueISO 6579-1, Microbiology of the food chain — Horizontal method for the detection, enumeration and serotyping of Salmonella: Part 1: Detection of Salmonella spp.ISO 6611, Milk and milk products — Enumeration of colony-forming units of yeasts and/or moulds — Colony-count technique at 25 degrees CISO 6888-1, Microbiology of the food chain — Horizontal method for the enumeration of coagulase-positive staphylococci (Staphylococcus aureus and other species) — Part 1: Method using Baird-Parker agar mediumISO 707, Milk and milk products — Guidance on samplingISO 7889, Yogurt — Enumeration of characteristic microorganisms — Colony-count technique at 37 degrees CISO 8968-1, Milk and milk products — Determination of nitrogen content — Part 1: Kjeldahl principle and crude protein calculationISO/TS 11869, Fermented milks — Determination of titratable acidity — Potentiometric methodISO/TS 6733, Milk and milk products — Determination of lead content — Graphite furnace atomic absorption spectrometric method</t>
  </si>
  <si>
    <t>DARS 1033 2025, Pasteurized milk — Specification, First Edition</t>
  </si>
  <si>
    <t>This African Standard specifies requirements, sampling, and test methods of pasteurized milk of (cow milk (Bos spp.); goat (Capra spp.); sheep (Ovis spp.); camel (Camelus dromedarius) for direct consumption or further processing.Note: This Draft Tanzania Standard was also notified under TBT Committee.</t>
  </si>
  <si>
    <r>
      <rPr>
        <sz val="11"/>
        <rFont val="Calibri"/>
      </rPr>
      <t>https://members.wto.org/crnattachments/2025/SPS/TZA/25_09247_00_e.pdf</t>
    </r>
  </si>
  <si>
    <t>PCD 765:2025,Textiles – Fishing line – Specification, First edition </t>
  </si>
  <si>
    <t>This Draft Zanzibar National Standard specifies requirements, sampling and test methods for fishing line._x000D_
It is applicable to fishing line made from polyamide (nylon) monofilament yarns</t>
  </si>
  <si>
    <t>WADDING, FELT AND NONWOVENS; SPECIAL YARNS; TWINE, CORDAGE, ROPES AND CABLES AND ARTICLES THEREOF (HS code(s): 56); Fishing and fish breeding (ICS code(s): 65.150)</t>
  </si>
  <si>
    <t>56 - WADDING, FELT AND NONWOVENS; SPECIAL YARNS; TWINE, CORDAGE, ROPES AND CABLES AND ARTICLES THEREOF</t>
  </si>
  <si>
    <r>
      <rPr>
        <sz val="11"/>
        <rFont val="Calibri"/>
      </rPr>
      <t>https://members.wto.org/crnattachments/2025/TBT/TZA/25_09249_00_e.pdf</t>
    </r>
  </si>
  <si>
    <t>ISO 1805, Fishing nets — Determination of breaking force and knot breaking force of netting yarnsISO 3790, Fishing nets — Determination of elongation of netting yarnsISO 1833 – 7, Textiles — Quantitative chemical analysis — Part 7: Mixtures of polyamide with certain other fibres (method using formic acid)</t>
  </si>
  <si>
    <t>DEAS 886: 2025 Packaging — Flexible packaging material — Determination of residual solvents by headspace gas chromatography — Test method</t>
  </si>
  <si>
    <t>This Draft East African Standard prescribes a method for the quantitative determination of residual solvents in flexible packaging materials by headspace gas chromatography. Residues from thermal decomposition products are not within the scope of this standard. The method is applicable to flexible packaging materials that may consist of mono- or multilayer plastic films, paper or board, foil or combinations thereof.</t>
  </si>
  <si>
    <r>
      <rPr>
        <sz val="11"/>
        <rFont val="Calibri"/>
      </rPr>
      <t>https://members.wto.org/crnattachments/2025/TBT/KEN/25_09255_00_e.pdf</t>
    </r>
  </si>
  <si>
    <t>DEAS 354: 2025 Plastic containers for up to 5 litres capacity — Specification</t>
  </si>
  <si>
    <r>
      <rPr>
        <sz val="11"/>
        <rFont val="Calibri"/>
      </rPr>
      <t>https://members.wto.org/crnattachments/2025/TBT/KEN/25_09257_00_e.pdf</t>
    </r>
  </si>
  <si>
    <t>ISO 2859-1 Sampling procedures for inspection by attributesPart 1: Sampling schemes indexed by acceptance quality limit (AQL) for lot-by-lot inspection. ISO 4787:2021(en) Laboratory glass and plastic ware — Volumetric instruments — Methods for testing of capacity and for use</t>
  </si>
  <si>
    <t>SI 5198 - Refillable seamless aluminium alloy gas cylinders – Design, construction and testing </t>
  </si>
  <si>
    <t>The requirements of the existing Israel Standard, SI 5198, are declared mandatory. This declaration was published in Israel's Official Gazette, Section of Government Notices no. 12143, and will come into effect on 24  June 2026.</t>
  </si>
  <si>
    <t>Refillable seamless aluminium alloy gas cylinders (HS code(s): 7311); (ICS code(s): 23.020.35)</t>
  </si>
  <si>
    <t>7311 - Containers for compressed or liquefied gas, of iron or steel.; 7311 - Containers for compressed or liquefied gas, of iron or steel.</t>
  </si>
  <si>
    <t>23.020.35 - Gas cylinders; 23.020.35 - Gas cylinders</t>
  </si>
  <si>
    <r>
      <rPr>
        <sz val="11"/>
        <rFont val="Calibri"/>
      </rPr>
      <t>https://members.wto.org/crnattachments/2024/TBT/ISR/24_00714_00_x.pdf</t>
    </r>
  </si>
  <si>
    <t>DEAS 934: 2025 Packaging — Flexible laminate tubes — Test method to assess the strength of the side seam</t>
  </si>
  <si>
    <t>This Draft East African Standard specifies methods for the assessment of the strength of the side seam of flexible laminate tubes. It is applicable to flexible laminate tubes used for packaging pharmaceutical, cosmetic, hygiene, food and other household products.</t>
  </si>
  <si>
    <r>
      <rPr>
        <sz val="11"/>
        <rFont val="Calibri"/>
      </rPr>
      <t>https://members.wto.org/crnattachments/2025/TBT/KEN/25_09256_00_e.pdf</t>
    </r>
  </si>
  <si>
    <t>The draft of the Egyptian Standard ES 5824 for" medical electrical equipment- particular requirements for the basic safety and essential performance of infant radiant warmers".</t>
  </si>
  <si>
    <t>The draft of the Egyptian standard ES 5824 specifies the safety requirements for infant radiant warmers, but alternate methods of compliance with a specific clause, by demonstrating equivalent safety, will not be judged as non-compliant, if the manufacturer has demonstrated in his risk management file that the risk presented by the hazard has been found to be of an acceptable level when weighed against the benefit of treatment from the device.Worth mentioning is that this draft standard is technically identical with IEC 60601-2-21:2020+Amd1/2023.</t>
  </si>
  <si>
    <t>Anaesthetic, respiratory and reanimation equipment (ICS code(s): 11.040.10)</t>
  </si>
  <si>
    <t>11.040.10 - Anaesthetic, respiratory and reanimation equipment</t>
  </si>
  <si>
    <t> IEC 60601-2-21:2020+Amd1/2023 Ministerial Decree No. 612/2007</t>
  </si>
  <si>
    <t>Partial Amendment of the Ordinance for Enforcement of the Radio Act ,etc.</t>
  </si>
  <si>
    <t>Japan will amend the Ordinance for Enforcement of the Radio Act, etc. to establish technical standards for the 800 MHz band three-dimensional positioning system and the 800 MHz band broadband low-power wireless system.</t>
  </si>
  <si>
    <t>800 MHz band three-dimensional positioning system and 800 MHz band broadband low-power wireless system</t>
  </si>
  <si>
    <t>33.060 - Radiocommunications</t>
  </si>
  <si>
    <t> Since the 800 MHz band digital MCA system will end its service at the end of May 2029, Japan will establish technical standards for the 800 MHz band three-dimensional positioning system and the 800 MHz band broadband low-power wireless system to be introduced in the vacated spectrum.</t>
  </si>
  <si>
    <t>March, 2026</t>
  </si>
  <si>
    <r>
      <rPr>
        <sz val="11"/>
        <rFont val="Calibri"/>
      </rPr>
      <t>https://members.wto.org/crnattachments/2025/TBT/JPN/25_09240_00_e.pdf</t>
    </r>
  </si>
  <si>
    <t>The basic law is the Radio Act (Act No. 131 of May 2, 1950).https://www.japaneselawtranslation.go.jp/en/laws/view/3205The amendment will be published in “KAMPO”(Official Government Gazette) when adopted.(available in Japanese)</t>
  </si>
  <si>
    <t>DARS 1033: 2025, Pasteurized milk — Specification, First edition </t>
  </si>
  <si>
    <t>This African Standard specifies requirements, sampling, and test methods of pasteurized milk of (cow milk (Bos spp.); goat (Capra spp.); sheep (Ovis spp.); camel (Camelus dromedarius) for direct consumption or further processingNote: This Draft Tanzania Standard was also notified under SPS committee.</t>
  </si>
  <si>
    <r>
      <rPr>
        <sz val="11"/>
        <rFont val="Calibri"/>
      </rPr>
      <t>https://members.wto.org/crnattachments/2025/TBT/TZA/25_09251_00_e.pdf</t>
    </r>
  </si>
  <si>
    <t>ARS 53, General Principles of Food Hygiene – Code of practiceARS 56, Pre-packaged Foods – LabellingARS 1034, Dairy industry — Glossary of termsARS 1036, Code of Hygienic Practice for Milk and Milk ProductsCXS 193, General Standard for Contaminants and Toxins in Food and FeedCXS 206, General Standard for the Use of Dairy TermsCXS 212, Codex Standard for SugarsCXS 346, General Standard for the labelling of non-retail containers of foodsIDF 21B, Milk, cream and evaporated milk – Determination of total solids content (Reference method)ISO 1211, Milk - Determination of fat content - Gravimetric method (Reference method)ISO 5764, Milk - Determination of freezing point - Thermistor cryoscope method (Reference method)ISO 8968-1, Milk - Determination of nitrogen content – Part 1: Kjeldahl method (including calculation of crude protein content)</t>
  </si>
  <si>
    <t>DARS 1035:2025, Sterilized milk - Specification, First Edition</t>
  </si>
  <si>
    <t>This draft African Standard specifies requirements, sampling and test methods for sterilized milk intended for direct human consumption or further processing.Note: This Draft Tanzania Standard was also notified under TBT Committee.</t>
  </si>
  <si>
    <r>
      <rPr>
        <sz val="11"/>
        <rFont val="Calibri"/>
      </rPr>
      <t>https://members.wto.org/crnattachments/2025/SPS/TZA/25_09246_00_e.pdf</t>
    </r>
  </si>
  <si>
    <t>Draft - Establishes the phytosanitary requirements for the importation of cut flowers of Liatris spp. produced in Peru</t>
  </si>
  <si>
    <t>Draft Ordinance aiming to establish the phytosanitary requirements for the importation into Brazil of cut flowers (Category 3) of Liatris spp. produced in Peru.</t>
  </si>
  <si>
    <t>Liatris spp.</t>
  </si>
  <si>
    <t>060390 - Dried, dyed, bleached, impregnated or otherwise prepared cut flowers and buds, of a kind suitable for bouquets or for ornamental purposes</t>
  </si>
  <si>
    <t>Territory protection; Plant health; Plant diseases</t>
  </si>
  <si>
    <r>
      <rPr>
        <sz val="11"/>
        <rFont val="Calibri"/>
      </rPr>
      <t>https://members.wto.org/crnattachments/2025/SPS/BRA/25_09269_00_x.pdf</t>
    </r>
  </si>
  <si>
    <t>The draft of the Egyptian Standard ES 5807 for “ medical electrical equipment - particular requirements for the basic safety and essential performance of infant phototherapy equipment”.</t>
  </si>
  <si>
    <t>The draft of the Egyptian standard ES 5807 specifies safety requirements for infant phototherapy equipment, but alternate methods of compliance with a specific clause by demonstrating equivalent safety will not be judged as non-compliant if the manufacturer has demonstrated in his risk management file that the risk presented by the hazard has been found to be of an acceptable level when weighed against the benefit of treatment from the device.Worth mentioning is that this draft standard is technically identical with IEC 60601-2-50:2020.</t>
  </si>
  <si>
    <t>Therapy equipment (ICS code(s): 11.040.60)</t>
  </si>
  <si>
    <t>11.040.60 - Therapy equipment</t>
  </si>
  <si>
    <t>IEC 60601-2-50:2020Ministerial Decree No.  612/2007</t>
  </si>
  <si>
    <t>Resolución No. 34876 (30 de diciembre de 2025) "Por la cual se suspende temporalmente la emisión de Documentos Zoosanitarios de Importación (DZI) para productos y subproductos de origen porcino procedentes de la República Italiana, ante la presencia del virus de la Peste Porcina Africana (PPA) en animales silvestres, y se dictan otras disposiciones" (Resolution No. 34876, of 30 December 2025, temporarily suspending the issuance of animal health import documents (DZI) for products and by-products of swine coming from the Italian Republic, due to the presence of the African swine fever (ASF) virus in wild animals, and issuing other provisions)</t>
  </si>
  <si>
    <t>Resolution No. 34876, of 30 December 2025, temporarily suspends the issuance of animal health import documents (DZI) for products and by-products of swine coming from Italy that do not comply with the provisions of Section 15, Chapter 15.1, Article 15.1.2 of the WOAH Terrestrial Animal Health Code, and the conditions established under Resolution No. 1183 of the Andean Community for the various products.</t>
  </si>
  <si>
    <t>Products and by-products of swine.</t>
  </si>
  <si>
    <t>411320 - Leather further prepared after tanning or crusting "incl. parchment-dressed leather", of pigs, without hair on, whether or not split (excl. chamois leather, patent leather and patent laminated leather, and metallised leather); 41063 - - Of swine:; 410330 - Raw hides and skins of swine, fresh, or salted, dried, limed, pickled or otherwise preserved, whether or not dehaired or split (excl. tanned, parchment-dressed or further prepared); 16024 - - Of swine:; 02101 - - Meat of swine:; 0206 - Edible offal of bovine animals, swine, sheep, goats, horses, asses, mules or hinnies, fresh, chilled or frozen; 0203 - Meat of swine, fresh, chilled or frozen</t>
  </si>
  <si>
    <t>Pest- or Disease- free Regions / Regionalization; Animal health; Animal diseases; African swine fever (ASF)</t>
  </si>
  <si>
    <r>
      <rPr>
        <sz val="11"/>
        <rFont val="Calibri"/>
      </rPr>
      <t>https://members.wto.org/crnattachments/2026/SPS/COL/26_00015_00_s.pdf
https://www.ica.gov.co/getattachment/fbd4dfc5-20b0-4ca0-b5f1-690b4df15e1d/2025R00034876.aspx</t>
    </r>
  </si>
  <si>
    <t>DEAS 931: 2025 Packaging ancillary materials — Code of practice — Desiccants</t>
  </si>
  <si>
    <r>
      <rPr>
        <sz val="11"/>
        <rFont val="Calibri"/>
      </rPr>
      <t>https://members.wto.org/crnattachments/2025/TBT/KEN/25_09258_00_e.pdf</t>
    </r>
  </si>
  <si>
    <t>Amendments to the Legal Inspection Requirements for Stationary Lithium Battery Storage Appliances</t>
  </si>
  <si>
    <t>The purpose of this notification is to provide the final texts of "Amendments to the Legal Inspection Requirements for Stationary Lithium Battery Storage Appliances" and relevant dates of its implementation. The draft texts notified in "G/TBT/N/TPKM/564" were adopted without changes.</t>
  </si>
  <si>
    <t>Static converters (HS code(s): 850440); Lithium-ion accumulators (excl. spent) (HS code(s): 850760); Electric accumulators (excl. spent, and lead-acid, nickel-cadmium, nickel-metal hydride and lithium-ion accumulators) (HS code(s): 850780)</t>
  </si>
  <si>
    <t>850440 - Static converters; 850760 - Lithium-ion accumulators (excl. spent); 850780 - Electric accumulators (excl. spent, and lead-acid, nickel-cadmium, nickel-metal hydride and lithium-ion accumulators); 850780 - Electric accumulators (excl. spent, and lead-acid, nickel-cadmium, nickel-metal hydride and lithium-ion accumulators); 850760 - Lithium-ion accumulators (excl. spent); 850440 - Static converters</t>
  </si>
  <si>
    <t>29.200 - Rectifiers. Converters. Stabilized power supply; 29.200 - Rectifiers. Converters. Stabilized power supply</t>
  </si>
  <si>
    <r>
      <rPr>
        <sz val="11"/>
        <rFont val="Calibri"/>
      </rPr>
      <t>https://members.wto.org/crnattachments/2026/TBT/TPKM/final_measure/26_00001_00_x.pdf
https://members.wto.org/crnattachments/2026/TBT/TPKM/final_measure/26_00001_00_e.pdf</t>
    </r>
  </si>
  <si>
    <t>Draft amendments of regulations 360A, 360B And 360C of the Food Regulations 1985 [P.U. (A) 437/1985</t>
  </si>
  <si>
    <t>The proposed amendments to the Food Regulations 1985 [P.U.(A) 437/1985] involve the following:(a) amendments to regulation 360A on natural mineral water to —substitute the existing definition of natural mineral water with “Natural mineral water shall be water which is obtained for human consumption from subterranean water-bearing strata through a spring, well, bore or other exit, characterised by its content of certain mineral salts and the presence of trace elements or of other constituents with or without the addition of carbon dioxide”;substitute the source of natural mineral water being “the point of natural emergence or artificial abstraction of the water and collected under conditions” with “natural sources or extract from underground water-bearing strata”; andrecognise “any equivalent process” to the existing listed treatments as the treatment of natural mineral water._x000D_
(b) amendments to regulations 360B and 360C regarding the provisions to revoke or suspend a packaged drinking water and vended water licence</t>
  </si>
  <si>
    <t>Mineral water (HS code: 2201.10.10 00)</t>
  </si>
  <si>
    <t>220110 - Mineral waters and aerated waters, not containing added sugar, other sweetening matter or flavoured</t>
  </si>
  <si>
    <t>Reglamento Técnico TECNOLOGÍA DE LOS ALIMENTOS. PRODUCTOS LÁCTEOS. LECHE CONDENSADA. ESPECIFICACIONES; </t>
  </si>
  <si>
    <t>The purpose of the notified Technical Regulations is to establish the following:• Reglamento Técnico TECNOLOGÍA DE LOS ALIMENTOS. PRODUCTOS LÁCTEOS. LECHE CONDENSADA. ESPECIFICACIONES (Technical Regulations: Food technology. Milk products. Condensed milk. Specifications); (8 pages, in Spanish)The notified Technical Regulations define the characteristics that condensed milk must meet after undergoing appropriate heat treatment to ensure its preservation in hermetically sealed containers, in accordance with the definitions set out in Section 4 of these Technical Regulations.</t>
  </si>
  <si>
    <r>
      <rPr>
        <sz val="11"/>
        <rFont val="Calibri"/>
      </rPr>
      <t>https://members.wto.org/crnattachments/2026/TBT/PAN/26_00042_00_s.pdf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</si>
  <si>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1978. General Standard for Cheese. Codex Alimentarius Standard, CXS 283-1978. Codex Alimentarius Commission. Rome.</t>
  </si>
  <si>
    <t>Amendments to the Legal Inspection Requirements for Hand-held Electric tools</t>
  </si>
  <si>
    <t>The purpose of this notification is to provide the final texts of “Amendments to the Legal Inspection Requirements for Hand-held Electric Tools” and relevant dates of its implementation.The draft texts notified in “G/TBT/N/TPKM/574” were adopted without changes.</t>
  </si>
  <si>
    <t>Electro-mechanical tools for working in the hand, with self-contained electric motor (excl. saws and drills) (HS code(s): 846729)Saws for working in the hand, with self-contained electric motor (HS code(s): 846722)Drills of all kinds for working in the hand, with self-contained electric motor (HS code(s): 846721)</t>
  </si>
  <si>
    <t>846722 - Saws for working in the hand, with self-contained electric motor; 846721 - Drills of all kinds for working in the hand, with self-contained electric motor; 846729 - Electromechanical tools for working in the hand, with self-contained electric motor (excl. saws and drills); 846721 - Drills of all kinds for working in the hand, with self-contained electric motor; 846722 - Saws for working in the hand, with self-contained electric motor; 846729 - Electromechanical tools for working in the hand, with self-contained electric motor (excl. saws and drills)</t>
  </si>
  <si>
    <t>25.100.30 - Drills, countersinks, reamers; 25.100.30 - Drills, countersinks, reamers; 25.100.40 - Saws; 25.100.40 - Saws; 25.140 - Hand-held tools; 25.140 - Hand-held tools</t>
  </si>
  <si>
    <r>
      <rPr>
        <sz val="11"/>
        <rFont val="Calibri"/>
      </rPr>
      <t>https://members.wto.org/crnattachments/2026/TBT/TPKM/final_measure/26_00004_00_e.pdf
https://members.wto.org/crnattachments/2026/TBT/TPKM/final_measure/26_00004_00_x.pdf</t>
    </r>
  </si>
  <si>
    <t>Reglamento Técnico TECNOLOGÍA DE LOS ALIMENTOS. PRODUCTOS LÁCTEOS. LECHE CRUDA. ESPECIFICACIONES;</t>
  </si>
  <si>
    <t>The purpose of the notified Technical Regulations is to establish the following:• Technical Regulations: Food technology. Milk products. Raw milk. Specifications; (5 pages, in Spanish)The notified Technical Regulations establish the health and quality, microbiological, physico-chemical and sensory (organoleptic) requirements that must be met by raw milk (Lactis bovinis cruda) for human consumption.</t>
  </si>
  <si>
    <r>
      <rPr>
        <sz val="11"/>
        <rFont val="Calibri"/>
      </rPr>
      <t>https://members.wto.org/crnattachments/2026/TBT/PAN/26_00039_00_s.pdf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</si>
  <si>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1978. General Standard for Cheese. Codex Alimentarius Standard, CXS 283-1978. Codex Alimentarius Commission. Rome.</t>
  </si>
  <si>
    <t>Draft - Updates the phytosanitary requirements for the import of seeds of faba bean (Vicia faba) produced in Italy</t>
  </si>
  <si>
    <t>Draft Ordinance aiming to update the phytosanitary requirements for the import of seeds of faba bean (Vicia faba) (Category 4) produced in Italy.</t>
  </si>
  <si>
    <t>Faba bean (Vicia faba</t>
  </si>
  <si>
    <t>071350 - Dried, shelled broad beans "Vicia faba var. major" and horse beans "Vicia faba var. equina and Vicia faba var. minor", whether or not skinned or split</t>
  </si>
  <si>
    <t>Plant diseases; Plant health; Pest- or Disease- free Regions / Regionalization; Territory protection</t>
  </si>
  <si>
    <r>
      <rPr>
        <sz val="11"/>
        <rFont val="Calibri"/>
      </rPr>
      <t>https://members.wto.org/crnattachments/2025/SPS/BRA/25_09268_00_x.pdf
https://members.wto.org/crnattachments/2025/SPS/BRA/25_09268_00_e.pdf</t>
    </r>
  </si>
  <si>
    <t>Public Health Protection (Food) Notice (Application of Changes to the Annex to the European Union Directives) (Regulation 2023/915), 5786 – 2025</t>
  </si>
  <si>
    <t>The European Regulation (EC) No 2023/915 of the European Parliament and of the Council of 25 April 2023 on maximum levels for certain contaminants in food was adopted in Israel as part of Amendment No. 10 to the Public Health Protection (Food) Law, 5776 - 2015 (notified in G/TBT/N/ISR/1332/Rev.1), and appears in item 1 of the Second Annex A to the Law with a few deviations as detailed in columns A and C, in addition to the exceptions as stated in Section 3A(a1) to (a5) of the Law. This regulation replaced the Commission Regulation (EC) No 1881/2006 setting maximum levels for certain contaminants in foodstuffs of 19 December, 2006, which was adopted within the framework of the Economic Plan Law (Legislative Amendments for the Implementation of Economic Policy for the Budget Years 2021 and 2022), 5782-2021, through an indirect amendment to the Food Law (Amendment No. 3), and was applied in Israel from 1 January, 2023.It is now proposed to apply the change to the adopted Regulation (EC) 2023/915 in full, as implemented in the European Union by 1 December 2025.  The main change introduced by this proposed amendment is the addition of maximum permissible levels of inorganic arsenic in fish and seafood, as implemented in Commission Regulation (EU) 2025/1891 of 17 September 2025, amending Regulation (EU) 2023/915, as regards maximum levels of inorganic arsenic in fish and other seafood</t>
  </si>
  <si>
    <t>Food (ICS code(s): 67.040; 67.050)</t>
  </si>
  <si>
    <t>67.040 - Food products in general; 67.050 - General methods of tests and analysis for food products</t>
  </si>
  <si>
    <r>
      <rPr>
        <sz val="11"/>
        <rFont val="Calibri"/>
      </rPr>
      <t>https://members.wto.org/crnattachments/2025/TBT/ISR/25_09293_00_x.pdf
https://members.wto.org/crnattachments/2025/TBT/ISR/25_09293_01_x.pdf</t>
    </r>
  </si>
  <si>
    <t>Announcement of the opening of the change for public commentsNotice of the Food Service Administration in accordance with Section 3A(c) of the LawProtection of Public Health Law (Food) 5776-2015RIACommission Regulation (EU) 2025/1891 of 17 September 2025 amending Regulation (EU) 2023/915 as regards maximum levels of inorganic arsenic in fish and other seafood</t>
  </si>
  <si>
    <t>Reglamento Técnico TECNOLOGÍA DE LOS ALIMENTOS. PRODUCTOS LÁCTEOS. TÉRMINOS LECHEROS; </t>
  </si>
  <si>
    <t>The purpose of the notified Technical Regulations is to establish the following:• Technical Regulations: Food technology. Milk products. Dairy terms (7 pages, in Spanish).The notified Technical Regulations establish definitions for milk and milk products intended for human consumption or further processing.</t>
  </si>
  <si>
    <r>
      <rPr>
        <sz val="11"/>
        <rFont val="Calibri"/>
      </rPr>
      <t>https://members.wto.org/crnattachments/2026/TBT/PAN/26_00038_00_s.pdf</t>
    </r>
  </si>
  <si>
    <t>• FAO and WHO. 1995. General Standard for Food Additives. Codex Alimentarius Standard, CXS 192-1995. Codex Alimentarius Commission. Rome.• FAO and WHO. 1995.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1978. General Standard for Cheese. Codex Alimentarius Standard, CXS 283-1978. Codex Alimentarius Commission. Rome.</t>
  </si>
  <si>
    <t>THE STANDARDS (TESTING AND DESIGNATION OF LABORATORIES) REGULATIONS, 2025</t>
  </si>
  <si>
    <t>These Regulations shall apply todesignation of laboratories by the Bureau; and testing services offered by the Bureau and its designated laboratories under the Act Act means the Standards Act, Chapter 496 of the laws of Kenya</t>
  </si>
  <si>
    <t>Product and company certification. Conformity assessment (ICS code(s): 03.120.20); Test conditions and procedures in general (ICS code(s): 19.020)</t>
  </si>
  <si>
    <t>03.120.20 - Product and company certification. Conformity assessment; 19.020 - Test conditions and procedures in general</t>
  </si>
  <si>
    <t>Prevention of deceptive practices and consumer protection (TBT); Reducing trade barriers and facilitating trade (TBT)</t>
  </si>
  <si>
    <r>
      <rPr>
        <sz val="11"/>
        <rFont val="Calibri"/>
      </rPr>
      <t>https://members.wto.org/crnattachments/2025/TBT/KEN/25_09260_00_e.pdf</t>
    </r>
  </si>
  <si>
    <t> Standards Act, Chapter 496 of the laws of Kenya</t>
  </si>
  <si>
    <t>Legal Inspection Requirements for Secondary Lithium Battery Packs for Road Vehicle Propulsion</t>
  </si>
  <si>
    <t>The purpose of this notification is to provide the final texts of "Legal Inspection Requirements for Secondary Lithium Battery Packs for Road Vehicle Propulsion" and relevant dates of its implementation. The draft texts notified in "G/TBT/N/TPKM/572" were adopted with minor changes.</t>
  </si>
  <si>
    <t>Lithium-ion accumulators (excl. spent) (HS code(s): 850760); Electric accumulators (excl. spent, and lead-acid, nickel-cadmium, nickel-metal hydride and lithium-ion accumulators) (HS code(s): 850780)</t>
  </si>
  <si>
    <t>850760 - Lithium-ion accumulators (excl. spent); 850780 - Electric accumulators (excl. spent, and lead-acid, nickel-cadmium, nickel-metal hydride and lithium-ion accumulators); 850780 - Electric accumulators (excl. spent, and lead-acid, nickel-cadmium, nickel-metal hydride and lithium-ion accumulators); 850760 - Lithium-ion accumulators (excl. spent)</t>
  </si>
  <si>
    <t>Protection of human health or safety (TBT); Protection of the environment (TBT); Quality requirements (TBT)</t>
  </si>
  <si>
    <r>
      <rPr>
        <sz val="11"/>
        <rFont val="Calibri"/>
      </rPr>
      <t>https://members.wto.org/crnattachments/2026/TBT/TPKM/final_measure/26_00003_00_x.pdf
https://members.wto.org/crnattachments/2026/TBT/TPKM/final_measure/26_00003_00_e.pdf</t>
    </r>
  </si>
  <si>
    <t>Germany</t>
  </si>
  <si>
    <t>Second Law on the Development of the Greenhouse Gas Reduction Quota</t>
  </si>
  <si>
    <t>The national greenhouse gas reduction quota (GHG quota) will be continued and the following measures will be taken to this end:- The mandatory percentage reduction in greenhouse gas emissions from fuels will be continued until 2040 and will gradually increase to 59%. This corresponds to a share of renewable energies in total energy consumption of 62% according to the RED III calculation method.- A general quota for renewable fuels of non-biogenic origin will be introduced across the scope of application of the GHG quota.- The quota for advanced biofuels (from raw materials listed in Annex IX, Part A of Directive (EU) 2018/2001) will be increased and double counting of advanced biofuels will be eliminated.- Renewable fuels will only be eligible for the GHG quota if on-site checks by the competent authority according to Article 17 Paragraph 1 of the Implementing Regulation (EU) 2022/996 are possible. - The crediting of biofuels from palm oil production residues to the GHG quota will be discontinued.Further amendments to the Federal Immissions Control Act (BImSchG) serve to implement Regulation (EU) 2023/2405 (ReFuelEU Aviation). In particular, the authorities responsible for enforcing the regulation in Germany are specified. In addition, sanctions for violations of Regulation (EU) 2023/2405 are laid down in the BImSchG. The scope of the Biofuel Sustainability Regulation (Biokraft-NachV) is extended to include biofuels for aviation, and the scope of the 37th Federal Immissions Control Ordinance (37th BImSchV) is extended to include synthetic aviation fuels and renewable hydrogen for aviation. Further adjustments to the 37th BImSchV are necessary to adopt the amended provisions of Implementing Regulation (EU) 2022/996 regarding the accreditation requirement for certification bodies.</t>
  </si>
  <si>
    <t>KN-Code: 2710 12 41, KN-Code: 2710 12 45; KN-Code: 2710 12 49, KN-Code: 2710 19 43 to 2710 19 48; KN-Code: 2710 19 43 to 2710 19 48; KN-Code: 2710 19 21; KN-Code: 2804 10 00</t>
  </si>
  <si>
    <t>271019 - Medium oils and preparations, of petroleum or bituminous minerals, not containing biodiesel, n.e.s.; 271012 - Light oils and preparations, of petroleum or bituminous minerals which &gt;= 90% by volume "incl. losses" distil at 210°C "ASTM D 86 method" (excl. containing biodiesel); 280410 - Hydrogen</t>
  </si>
  <si>
    <t>The draft law serves to implement the European legal requirements of Directive (EU) 2024/2413 (RED III), ReFuelEUAviation, which necessitates the expansion of the scope of application of the Biokraft-NachV and the 37th BImSchV, as aviation fuels were not previously covered by the requirements in the regulations, as well as the amended requirements of Implementing Regulation (EU) 2022/996. The requirement of the possibility of on-site checks by the competent authority according to Article 17 Paragraph 1 of the Implementing Regulation (EU) 2022/996 as prerequisite for the eligibility of renewable fuels for the GHG quota is introduced to strengthen fraud prevention as a reaction to several fraud cases involving biofuels during the last years.</t>
  </si>
  <si>
    <t>March 2025</t>
  </si>
  <si>
    <t>Two days after promulgation</t>
  </si>
  <si>
    <r>
      <rPr>
        <sz val="11"/>
        <rFont val="Calibri"/>
      </rPr>
      <t>https://members.wto.org/crnattachments/2025/TBT/DEU/25_09207_00_x.pdf</t>
    </r>
  </si>
  <si>
    <t>Gesetz zum Schutz vor schädlichen Umwelteinwirkungen durch Luftverunreinigungen, Geräusche, Erschütterungen und ähnliche Vorgänge (Bundes-Immissionsschutzgesetz - BImSchG)Sechsunddreißigste Verordnung zur Durchführung des Bundes-Immissionsschutzgesetzes (Verordnung zur Durchführung der Regelungen der Biokraftstoffquote) (36. BImSchV)Verordnung zur Neufassung der Siebenunddreißigsten Verordnung zur Durchführung des Bundes-Immissionsschutzgesetzes (Verordnung zur Anrechnung von strombasierten Kraftstoffen und mitverarbeiteten biogenen Ölen auf die Treibhausgasquote) (37. BImSchV)Achtunddreißigste Verordnung zur Durchführung des Bundes-Immissionsschutzgesetzes (Verordnung zur Festlegung weiterer Bestimmungen zur Treibhausgasminderung bei Kraftstoffen - 38. BImSchV)Verordnung über Anforderungen an eine nachhaltige Herstellung von Biokraftstoffen (Biokraftstoff-Nachhaltigkeitsverordnung - Biokraft-NachV)</t>
  </si>
  <si>
    <t>Japan will amend the Ordinance for Enforcement of the Radio Act, etc. to establish technical standards of the 920 MHz band spatial transmission wireless power transfer system for the outdoor use and for specified low-power radio stations.</t>
  </si>
  <si>
    <t>920 MHz band spatial transmission wireless power transfer system</t>
  </si>
  <si>
    <t>As the 920 MHz band spatial transmission wireless power transfer system becomes more widespread, there is a growing need to improve installation flexibility and expand its range of applications. Therefore, Japan will establish technical standards that enable outdoor use and allow operation as a specified low-power radio station with output limitations.</t>
  </si>
  <si>
    <r>
      <rPr>
        <sz val="11"/>
        <rFont val="Calibri"/>
      </rPr>
      <t>https://members.wto.org/crnattachments/2025/TBT/JPN/25_09244_00_e.pdf</t>
    </r>
  </si>
  <si>
    <t>Plants: olive (Olea europaea) seedlings, white mulberry (Morus alba) seedlings, strawberry (Fragaria spp.) seedlings, blueberry and bilberry (Vaccinium spp.) seedlings, bougainvillea (Bougainvillea sp.) plants, roselle (Hibiscus sabdariffa) plants, hibiscus (Hibiscus sp.) plants, chrysanthemum (Chrysanthemum) plants; plants of banana (Musa), plants of ensete (Ensete ventricosum), plants of fig (Ficus carica), plants of clove (Syzygium aromaticum), plants of guava (Psidium guajava), Java apple (Syzygium samarangense) plants, heliconia (Heliconia) plants, bird of paradise (Strelitzia reginae) plants, sugar apple (Annona squamosa) plants, pandanus (Pandanus sp.) plantsFresh or chilled vegetables and fruits: tomatoes (Lycopersicon), fresh or chilled; peppers, fresh or chilled; eggplants (aubergines), fresh or chilled; ginger, neither crushed nor ground, fresh; bananas, including plantains, fresh; grapes, fresh or dried(HS code(s): of 0602; 0702; 070930; 070960; 0803; 0806; 091011)</t>
  </si>
  <si>
    <t>0602 - Live plants incl. their roots, cuttings and slips; mushroom spawn (excl. bulbs, tubers, tuberous roots, corms, crowns and rhizomes, and chicory plants and roots); 0702 - Tomatoes, fresh or chilled.; 070960 - Fresh or chilled fruits of the genus Capsicum or Pimenta; 070930 - Fresh or chilled aubergines "eggplants"; 091011 - Ginger, neither crushed nor ground; 0803 - Bananas, incl. plantains, fresh or dried; 0806 - Grapes, fresh or dried</t>
  </si>
  <si>
    <r>
      <rPr>
        <sz val="11"/>
        <rFont val="Calibri"/>
      </rPr>
      <t>https://members.wto.org/crnattachments/2025/SPS/RUS/25_09252_00_x.pdf
https://members.wto.org/crnattachments/2025/SPS/RUS/25_09252_01_x.pdf
https://regulation.eaeunion.org/orv/3303/</t>
    </r>
  </si>
  <si>
    <t>Legal Inspection Requirements for Secondary Lithium Cell Blocks, Battery Packs (Modules), Battery Systems for battery energy storage systems (BESS) use</t>
  </si>
  <si>
    <t>The purpose of this notification is to provide the final texts of "Legal Inspection Requirements for Secondary Lithium Cell Blocks, Battery Packs (Modules), Battery Systems for battery energy storage systems (BESS) use" and relevant dates of its implementation. The draft texts notified in "G/TBT/N/TPKM/566" were adopted without changes.</t>
  </si>
  <si>
    <r>
      <rPr>
        <sz val="11"/>
        <rFont val="Calibri"/>
      </rPr>
      <t>https://members.wto.org/crnattachments/2026/TBT/TPKM/final_measure/26_00002_00_x.pdf
https://members.wto.org/crnattachments/2026/TBT/TPKM/final_measure/26_00002_00_e.pdf</t>
    </r>
  </si>
  <si>
    <t>The draft of the Egyptian Standard ES 355-1 for “Honey and method of Analysis - part 1: Honey”</t>
  </si>
  <si>
    <t>Products covered (ICS 67.180.10) Sugar and sugar products.This addendum concerns the notification of the draft of the Egyptian Standard ES 355-1 for “Honey and method of Analysis - part 1: Honey” (13 page(s), in Arabic).It should be noted that the Ministerial Decree No. 130 /2005 (11 pages, in Arabic) which was formerly notified in G/TBT/N/EGY/1 dated 14 December 2005, mandated among others the earlier version of this Egyptian Standard.Worth mentioning is that this draft standard is technically identical with modification with Codex Standard CXS 12-1981 adopted in 1981, revised in 1987, 2001, amended in 2019, 2022.Producers and importers are kept informed of any amendments in the Egyptian standard through the publication of administrative orders in the official gazette.Proposed date of adoption: To be determinedProposed date of entry into force: To be determined Agency or authority designated to handle comments and text available from:National Enquiry Point Egyptian Organization for Standardization and Quality 16 Tadreeb El-Modarrebeen St., Ameriya, Cairo – EgyptE-mail: eos@eos.org.egeos.tbt@eos.org.egWebsite: http://www.eos.org.egTel : + (202) 22845528Fax : + (202) 22845504</t>
  </si>
  <si>
    <t>1702 - Other sugars, incl. chemically pure lactose, maltose, glucose and fructose, in solid form; sugar syrups not containing added flavouring or colouring matter; artificial honey, whether or not mixed with natural honey; caramel; 040900 - Natural honey</t>
  </si>
  <si>
    <t>Reglamento Técnico TECNOLOGÍA DE LOS ALIMENTOS. PRODUCTOS LÁCTEOS. LECHE EVAPORADA. ESPECIFICACIONES; </t>
  </si>
  <si>
    <r>
      <rPr>
        <sz val="11"/>
        <rFont val="Calibri"/>
      </rPr>
      <t>https://members.wto.org/crnattachments/2026/TBT/PAN/26_00041_00_s.pdf</t>
    </r>
  </si>
  <si>
    <t>Requirements on Minimum Energy Performance Standard and Inspection of Fishing-Vessel Engines</t>
  </si>
  <si>
    <t>The purpose of this notification is to provide the final texts of "Requirements on Minimum Energy Performance Standard and Inspection of Fishing-Vessel Engines'' and relevant dates of its implementation. The draft texts notified in “G/TBT/N/TPKM/576” were adopted without changes.</t>
  </si>
  <si>
    <t>- Generating sets with compression-ignition internal combustion piston engines (diesel or semi-diesel engines): (HS code(s): 85021); Fishing vessels; factory ships and other vessels for processing or preserving fishery products. (HS code(s): 8902)</t>
  </si>
  <si>
    <t>8902 - Fishing vessels; factory ships and other vessels for processing or preserving fishery products.; 85021 - - Generating sets with compression-ignition internal combustion piston engines (diesel or semi-diesel engines):; 85021 - - Generating sets with compression-ignition internal combustion piston engines (diesel or semi-diesel engines):; 8902 - Fishing vessels; factory ships and other vessels for processing or preserving fishery products.</t>
  </si>
  <si>
    <t>47.020.20 - Marine engines and propulsion systems; 47.020.20 - Marine engines and propulsion systems; 47.040 - Seagoing vessels; 47.040 - Seagoing vessels</t>
  </si>
  <si>
    <t>Energy conservation</t>
  </si>
  <si>
    <r>
      <rPr>
        <sz val="11"/>
        <rFont val="Calibri"/>
      </rPr>
      <t>https://members.wto.org/crnattachments/2026/TBT/TPKM/final_measure/26_00016_00_e.pdf
https://members.wto.org/crnattachments/2026/TBT/TPKM/final_measure/26_00016_00_x.pdf</t>
    </r>
  </si>
  <si>
    <t>Reglamento Técnico TECNOLOGÍA DE LOS ALIMENTOS. PRODUCTOS LÁCTEOS. LECHE PASTEURIZADA Y LECHE ULTRAPASTEURIZADA (UHT). ESPECIFICACIONES; </t>
  </si>
  <si>
    <t>The purpose of the notified Technical Regulations is to establish the following:• Technical Regulations: Food technology. Milk Products. Pasteurized and ultra-pasteurized milk (UHT). Specifications; (10 pages, in Spanish)• The notified Technical Regulations establish the technical specifications that must be met by pasteurized and ultra-pasteurized milk (UHT) and prohibit the sale of adulterated milk for human consumption.</t>
  </si>
  <si>
    <r>
      <rPr>
        <sz val="11"/>
        <rFont val="Calibri"/>
      </rPr>
      <t>https://members.wto.org/crnattachments/2026/TBT/PAN/26_00040_00_s.pdf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</si>
  <si>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No.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1978. General Standard for Cheese. Codex Alimentarius Standard, CXS 283-1978. Codex Alimentarius Commission. Rome.</t>
  </si>
  <si>
    <t>Reforma Parcial a la Normativa técnica sanitaria para la obtención del certificado de la notificación sanitaria e inscripción de plantas procesadoras certificadas en buenas prácticas de manufactura de alimentos para regímenes especiales, establecimientos de distribución, comercialización y transporte (Partial amendment to the Sanitary Technical Regulation on the issuance of certificates of sanitary notification and registration for processing plants certified in good manufacturing practices for foods for special dietary uses, and establishments engaged in distribution, marketing and transportation activities)</t>
  </si>
  <si>
    <t>The Republic of Ecuador hereby advises that the National Agency for Health Surveillance, Regulation and Control (ARCSA - Doctor Leopoldo Izquieta Pérez), is in the process of issuing the draft partial amendment to the Sanitary Technical Regulation on the issuance of certificates of sanitary notification and registration for processing plants certified in good manufacturing practices for foods for special dietary uses, and establishments engaged in distribution, marketing and transportation activities.Contact details of agency or authority designated to handle comments regarding the notification: Agency:Ministerio de Producción, Comercio Exterior, Inversiones y Pesca, MPCEIP (Ministry of Production, Foreign Trade, Investment and Fisheries)Subsecretaría de la Calidad (Under-Secretariat for Quality)Primary enquiry point:Cristian Eduardo Yépez JaramilloPlataforma Gubernamental de Gestión FinancieraAv. Amazonas entre Unión Nacional de Periodistas y Alfonso PereiraPiso 8Bloque amarilloQuito EC170522Tel.: (+593 2) 3948760, Ext. 2254/2252Email: puntocontacto-otcecu@produccion.gob.ec; puntocontactoecu@gmail.com; cyepez@produccion.gob.ecWebsite: http://www.produccion.gob.ec__________</t>
  </si>
  <si>
    <t>The notified Sanitary Technical Regulation applies to all national or foreign natural or legal persons involved or engaged in the manufacturing, production, processing, preparation, packaging, packing, assembly, transportation, storage and marketing in Ecuador of processed foods for human consumption, as well as to mass catering establishments.</t>
  </si>
  <si>
    <r>
      <rPr>
        <sz val="11"/>
        <rFont val="Calibri"/>
      </rPr>
      <t xml:space="preserve">https://members.wto.org/crnattachments/2025/TBT/ECU/modification/25_09272_00_s.pdf
El proyecto normativo contempla el cumplimiento de las Normas Técnicas Ecuatorianas NTE INEN vigentes o de los documentos que las sustituyan
 y prevé la ampliación de los plazos para el pago de las órdenes y para la revisión documental
 así como la precisión en la determinación de la categoría del establecimiento dentro del formulario de inscripción.
</t>
    </r>
  </si>
  <si>
    <t>Implementation Rules CNCA-C13-01 of the Compulsory Certification for Safety Glazing Material of the P.R.C.</t>
  </si>
  <si>
    <t>This document specifies the scope of application, certification standards, certification modes, certification unit division, certification application, certification implementation, post-certification supervision, certification certificates, certification marks, fees, certification responsibilities for compulsory product certification of safety glazing material._x000D_
This document applies to the implementation of the compulsory product certification for safety glazing material.</t>
  </si>
  <si>
    <t>Safety glazing material (HS code(s): 7007; 7008); (ICS code(s): 43.040.60; 81.040.20)</t>
  </si>
  <si>
    <t>7008 - Multiple-walled insulating units of glass.; 7007 - Safety glass, toughened "tempered", laminated safety glass (excl. multiple-walled insulating units of glass, glasses for spectacles and clock or watch glasses)</t>
  </si>
  <si>
    <t>43.040.60 - Bodies and body components; 81.040.20 - Glass in building</t>
  </si>
  <si>
    <r>
      <rPr>
        <sz val="11"/>
        <rFont val="Calibri"/>
      </rPr>
      <t>https://members.wto.org/crnattachments/2026/TBT/CHN/26_00043_00_x.pdf</t>
    </r>
  </si>
  <si>
    <t>DARS 1035:2025,Sterilized milk - Specification, First edition </t>
  </si>
  <si>
    <t>This draft African Standard specifies requirements, sampling and test methods for sterilized milk intended for direct human consumption or further processing.Note: This Draft Tanzania Standard was also notified under SPS committee.</t>
  </si>
  <si>
    <r>
      <rPr>
        <sz val="11"/>
        <rFont val="Calibri"/>
      </rPr>
      <t>https://members.wto.org/crnattachments/2025/TBT/TZA/25_09250_00_e.pdf</t>
    </r>
  </si>
  <si>
    <t>AOAC 947.05-1947, Acidity of milk. Titrimetric methodARS 53, General Principles of Food Hygiene – Code of practiceARS 56, Pre-packaged Foods – LabellingARS 1036, Code of Hygienic Practice for Milk and Milk ProductsARS 1033, Pasteurized milk — SpecificationARS 1034, Dairy industry — Glossary of termsARS 1041, Raw Milk — SpecificationCXS 206, General Standard for the Use of Dairy TermsCXS 234, Recommended methods analysis and samplingCXS 212, Codex Standard for SugarsCXS 193, General Standard for Contaminants and Toxins in Food and FeedCXS 346, General Standard for the labelling of non-retail containers of foodsCAC/RCP 57, Code of hygienic practice for milk and milk productsISO 14501, Milk and milk powder — Determination of aflatoxin M1 content — Clean-up by immunoaffinity chromatography and determination by high-performance liquid chromatographyISO 2446, Milk — Determination of fat contentISO 5764, Milk — Determination of freezing point — Thermistor cryoscope method (Reference method)ISO 6731, Milk, cream and evaporated milk — Determination of total solids content (Reference method)ISO 707, Milk and milk products — Guidance on samplingISO 8968-4, Milk and milk products — Determination of nitrogen content — Part 4: Determination of protein and non-protein nitrogen content and true protein content calculation (Reference method)ISO 23318, Milk, dried milk products and cream — Determination of fat content — Gravimetric method</t>
  </si>
  <si>
    <t>Draft - Updates the phytosanitary requirements for the importation of fresh cherimoya fruit (Annona cherimola) produced in Chile</t>
  </si>
  <si>
    <t>Draft Ordinance aiming to update the phytosanitary requirements for the importation into Brazil of fresh cherimoya fruit (Annona cherimola) produced in Chile.</t>
  </si>
  <si>
    <t>Cherimoya (Annona cherimola</t>
  </si>
  <si>
    <r>
      <rPr>
        <sz val="11"/>
        <rFont val="Calibri"/>
      </rPr>
      <t>https://members.wto.org/crnattachments/2025/SPS/BRA/25_09267_00_s.pdf</t>
    </r>
  </si>
  <si>
    <t>Resolución No. 34883 de 2025 "Por la cual se suspende temporalmente la emisión de documentos zoosanitarios de importación (DZI) para productos y subproductos de origen porcino procedentes de la República Federal de Alemania ante la presencia del virus de la Peste Porcina Africana (PPA) en animales silvestres y se dictan otras disposiciones" (Resolution No. 34883, of 2025, temporarily suspending the issuance of animal health import documents (DZI) for products and by-products of swine coming from the Federal Republic of Germany, due to the presence of the African swine fever (ASF) virus in wild animals, and issuing other provisions)</t>
  </si>
  <si>
    <t>Resolution No. 34883 of 2025 temporarily suspends the issuance of animal health import documents (DZI) for products and by-products of swine coming from Germany that do not comply with the provisions of Section 15, Chapter 15.1, Article 15.1.2 of the WOAH Terrestrial Animal Health Code, and with the conditions established under Resolution No. 1183 of the Andean Community for the various products.</t>
  </si>
  <si>
    <t>0203 - Meat of swine, fresh, chilled or frozen; 0206 - Edible offal of bovine animals, swine, sheep, goats, horses, asses, mules or hinnies, fresh, chilled or frozen; 02101 - - Meat of swine:; 16024 - - Of swine:; 410330 - Raw hides and skins of swine, fresh, or salted, dried, limed, pickled or otherwise preserved, whether or not dehaired or split (excl. tanned, parchment-dressed or further prepared); 41063 - - Of swine:; 411320 - Leather further prepared after tanning or crusting "incl. parchment-dressed leather", of pigs, without hair on, whether or not split (excl. chamois leather, patent leather and patent laminated leather, and metallised leather)</t>
  </si>
  <si>
    <r>
      <rPr>
        <sz val="11"/>
        <rFont val="Calibri"/>
      </rPr>
      <t>https://members.wto.org/crnattachments/2026/SPS/COL/26_00014_00_s.pdf
https://www.ica.gov.co/getattachment/bff2cbbc-bb5c-48cd-986f-432a04a67872/2025R00034883.aspx</t>
    </r>
  </si>
  <si>
    <t>Requirements for the declaration management of overseas enterprises of imported agricultural products</t>
  </si>
  <si>
    <t>The list of agricultural products that require official recommendation and registration from abroad has been clarified. Based on the quarantine risk assessment results of import agricultural products, and in line with international practices, a list of import agricultural products that require official recommendation for registration and filing has been determined, and the public inquiry methods have been clarified to facilitate enterprises' inquiries filings;The channels for querying information of overseas enterprises have been clarified. The official website will uniformly publish the information of enterprises that have been registered, clearly stating the query methods, to facilitate the query and use by enterprises;The requirements for overseas enterprises' declarations have been clarified. The declaration requirements for overseas enterprises regarding imported agricultural products have been standardized, and this will guide enterprises to make standardized declarations.</t>
  </si>
  <si>
    <t>Animals, plants and their products</t>
  </si>
  <si>
    <t>Animal diseases; Animal health; Plant diseases; Plant health; Territory protection</t>
  </si>
  <si>
    <r>
      <rPr>
        <sz val="11"/>
        <rFont val="Calibri"/>
      </rPr>
      <t>https://members.wto.org/crnattachments/2025/SPS/CHN/25_09077_00_x.pdf</t>
    </r>
  </si>
  <si>
    <t>The draft Order provides to establish requirements restricting the use of certain epoxy derivatives in materials and articles intended to come into contact with food and to implement Commission Regulation (EC) No 1895/2005 of 18 November 2005 on the restriction of use of certain epoxy derivatives in materials and articles intended to come into contact with food.The Requirements apply to materials and articles, including active and intelligent food contact materials and articles, which are manufactured with or contain one or more of the following substances:2,2-bis(4-hydroxyphenyl)propane bis(2,3-epoxypropyl) ether (hereinafter - BADGE), CAS No 001675-54-3, and some of its derivatives;bis(hydroxyphenyl)methane bis(2,3-epoxypropyl) ethers (hereinafter - BFDGE), CAS No 039817-09-9;other novolac glycidyl ethers (hereinafter - NOGE).The implementation of this Order will contribute to the protection of public health by preventing the potential harmful effects of certain epoxy resins that may be present in materials and articles intended to come into contact with food.It is also notified under the SPS Agreement.</t>
  </si>
  <si>
    <t>67.250 - Materials and articles in contact with foodstuffs; 71.100 - Products of the chemical industry</t>
  </si>
  <si>
    <t>This Order will enter into force three months after its official publication.</t>
  </si>
  <si>
    <r>
      <rPr>
        <sz val="11"/>
        <rFont val="Calibri"/>
      </rPr>
      <t>https://members.wto.org/crnattachments/2025/TBT/UKR/25_09204_00_x.pdf
https://members.wto.org/crnattachments/2025/TBT/UKR/25_09204_01_x.pdf
https://moz.gov.ua/uk/povidomlennya-pro-oprilyudnennya-proyektu-nakazu-ministerstva-ohoroni-zdorov-ya-ukrayini-pro-zatverdzhennya-vimog-shodo-obmezhennya-zastosuvannya-deyakih-epoksidnih-pohidnih-u-materialah-i-predmetah-priznachenih-dlya-kontaktu-z-harchovimi-produktami</t>
    </r>
  </si>
  <si>
    <t>Laws of Ukraine "On Materials and Articles Intended to Come into Contact with Food" (notified in document G/TBT/N/UKR/165/Rev.1/Add.1), "On Basic Principles and Requirements for Safety and Quality of Food Products";Commission Regulation (EC) No 1895/2005 of 18 November 2005 on the restriction of use of certain epoxy derivatives in materials and articles intended to come into contact with food(available in English)</t>
  </si>
  <si>
    <t>NCh176/1:2019 Madera - Parte 1: Determinación del contenido de humedad</t>
  </si>
  <si>
    <t>1.1. The notified Standard establishes the following methods for directly determining the moisture content of wood: the oven-drying method and the distillation method. The method for determining the moisture content of wood using a wood moisture meter is described in Chilean Standard (NCh) No. 2827. 1.2 The Standard includes, for information purposes, the determination of moisture content using a microwave oven (see Annex B). 1.3 The Standard applies to sawn wood and laminated wood. It does not apply to wood panels.</t>
  </si>
  <si>
    <t>Maderas aserradas y maderas laminadas</t>
  </si>
  <si>
    <t>79 - WOOD TECHNOLOGY; 79.020 - Wood technology processes</t>
  </si>
  <si>
    <r>
      <rPr>
        <sz val="11"/>
        <rFont val="Calibri"/>
      </rPr>
      <t xml:space="preserve">
</t>
    </r>
  </si>
  <si>
    <t>Decreto Supremo N°47 de 1992 (Ordenanza General de Urbanismo y Construcciones)</t>
  </si>
  <si>
    <t>Ministerial Decision number 2166 for 2025 (Mexico)</t>
  </si>
  <si>
    <t>Decision to ban poultry meat (fresh, chilled, frozen and processed) of all types from Mexico due to an outbreak of highly pathogenic avian influenza.</t>
  </si>
  <si>
    <t>Meat and edible offal of the poultry of heading 01.05, fresh, chilled or frozen (HS code(s): 0207); Meat, meat products and other animal produce (ICS code(s): 67.120)</t>
  </si>
  <si>
    <t>0207 - Meat and edible offal of fowls of the species Gallus domesticus, ducks, geese, turkeys and guinea fowls, fresh, chilled or frozen; 0105 - Live poultry, "fowls of the species Gallus domesticus, ducks, geese, turkeys and guinea fowls"</t>
  </si>
  <si>
    <t>67.120.20 - Poultry and eggs</t>
  </si>
  <si>
    <t>Animal diseases; Food safety; Animal health; Human health; Avian Influenza</t>
  </si>
  <si>
    <r>
      <rPr>
        <sz val="11"/>
        <rFont val="Calibri"/>
      </rPr>
      <t>https://members.wto.org/crnattachments/2025/SPS/KWT/25_09232_00_x.pdf</t>
    </r>
  </si>
  <si>
    <t>Notice of Administration Order of Saudi Food and Drug Authority Ref. No. 28177 dated 24 December 2025 entitled “Temporary ban on importation of poultry meat, eggs and their products originating from Łódzkie in Poland”</t>
  </si>
  <si>
    <t>Following the WOAH report dated 19 December 2025, a Highly pathogenic avian influenza (HPAI) virus outbreak has occurred in Łódzkie in Poland. In compliance with the World Organisation for Animal Health (WOAH), Terrestrial Animal Health Code Chapter 10.4, it is deemed necessary for the Kingdom of Saudi Arabia to prevent the entry of the HPAI virus into the country. Therefore, the import of poultry meat, eggs and their products from Łódzkie in Poland to the Kingdom of Saudi Arabia is temporarily suspended (with the exception of processed poultry meat and egg products exposed to either heat or other treatments that ensure deactivation of the HPAI virus, as long as it conforms with the approved health requirements, and standards, with a health certificate issued by the official bodies in Poland prove that the product is free from the virus).</t>
  </si>
  <si>
    <t>0207 - Meat and edible offal of fowls of the species Gallus domesticus, ducks, geese, turkeys and guinea fowls, fresh, chilled or frozen; 0407 - Birds' eggs, in shell, fresh, preserved or cooked</t>
  </si>
  <si>
    <t>Animal health; Animal diseases; Avian Influenza; Food safety; Human health; Pest- or Disease- free Regions / Regionalization</t>
  </si>
  <si>
    <r>
      <rPr>
        <sz val="11"/>
        <rFont val="Calibri"/>
      </rPr>
      <t>https://members.wto.org/crnattachments/2025/SPS/SAU/25_09236_00_x.pdf</t>
    </r>
  </si>
  <si>
    <t>Notice of Administration Order of the Saudi Food and Drug Authority Ref. No. 28634/1 dated 28 December 2025 entitled “Temporary ban on importation of poultry meat, eggs, and their products originating from Małopolskie in Poland”</t>
  </si>
  <si>
    <t>Following the WOAH report dated 23 December 2025, a Newcastle virus outbreak has occurred in Małopolskie in Poland. In compliance with the World Organisation for Animal Health (WOAH), Terrestrial Animal Health Code Chapter 10.9, it is deemed necessary for the Kingdom of Saudi Arabia to prevent the entry of the Newcastle virus into the country. Therefore, the import of poultry meat, eggs and their products from Małopolskie in Poland to the Kingdom of Saudi Arabia is temporarily suspended (except for processed poultry meat and egg products exposed to either heat or other treatments that ensure deactivation of the Newcastle virus, as long as it conforms with the approved health requirements, and standards, with a health certificate issued by the official bodies in Poland prove that the product is free from the virus).</t>
  </si>
  <si>
    <t>Poultry meat, eggs, and their products</t>
  </si>
  <si>
    <t>02 - MEAT AND EDIBLE MEAT OFFAL; 04 - DAIRY PRODUCE; BIRDS' EGGS; NATURAL HONEY; EDIBLE PRODUCTS OF ANIMAL ORIGIN, NOT ELSEWHERE SPECIFIED OR INCLUDED; 0207 - Meat and edible offal of fowls of the species Gallus domesticus, ducks, geese, turkeys and guinea fowls, fresh, chilled or frozen; 0407 - Birds' eggs, in shell, fresh, preserved or cooked</t>
  </si>
  <si>
    <t>Animal health; Animal diseases; Food safety; Human health; Newcastle Disease; Pest- or Disease- free Regions / Regionalization</t>
  </si>
  <si>
    <r>
      <rPr>
        <sz val="11"/>
        <rFont val="Calibri"/>
      </rPr>
      <t>https://members.wto.org/crnattachments/2025/SPS/SAU/25_09261_00_x.pdf</t>
    </r>
  </si>
  <si>
    <t>NCh723:2019 Maderas - Hojas de puertas lisas de madera - Métodos de ensayo </t>
  </si>
  <si>
    <t>1.1. The notified Standard establishes the testing methods used to check the physical and mechanical characteristics of wood flush doors and their components as set out in Chilean Standard (NCh) No. 354. 1.2. The Standard applies to wood flush doors, in accordance with the classification in Chilean Standard (NCh) No. 354.</t>
  </si>
  <si>
    <t>Maderas - Hojas de puertas lisas de madera</t>
  </si>
  <si>
    <t>79 - WOOD TECHNOLOGY; 91.060.50 - Doors and windows</t>
  </si>
  <si>
    <t>Public Health Protection (Food) Notice (Application of Changes to the Annex to the European Union Directives) (Commission Regulation (EU) No 10/2011 of 14 January 2011 on plastic materials and articles intended to come into contact with food), 5785 – 2025</t>
  </si>
  <si>
    <t>The amendment to the Public Health Protection (Food) Notice (Application of Changes to the Annex to the European Union Directives) (Commission Regulation (EU) No 10/2011 of 14 January 2011 on plastic materials and articles intended to come into contact with food), which deals with plastic materials and articles intended to come into contact with food. The amendment was published in Israel's Official Gazette, section of Government Notice no 12126 on 16 December 2025._x000D_
It adopts and amends several changes to the Commission Regulation (EU) No 10/2011, in accordance with changes implemented in Europe.</t>
  </si>
  <si>
    <t>Food, except for raw meat, raw milk, honey, and fresh eggs in their shells (ICS code(s): 67.040; 67.050)</t>
  </si>
  <si>
    <t>67.040 - Food products in general; 67.040 - Food products in general; 67.050 - General methods of tests and analysis for food products; 67.050 - General methods of tests and analysis for food products; 67.220.20 - Food additives; 67.250 - Materials and articles in contact with foodstuffs; 67.250 - Materials and articles in contact with foodstuffs</t>
  </si>
  <si>
    <t>Food standards; Food standards; Food standards</t>
  </si>
  <si>
    <r>
      <rPr>
        <sz val="11"/>
        <rFont val="Calibri"/>
      </rPr>
      <t>https://members.wto.org/crnattachments/2025/TBT/ISR/final_measure/25_09217_00_x.pdf</t>
    </r>
  </si>
  <si>
    <t>Space Bureau Seeks To Refresh the Record on Proposed Rules To Permit the Use of Additional Frequency Bands for NGSO Satellites To Communicate With Earth Stations in Motion</t>
  </si>
  <si>
    <t xml:space="preserve">In this document, the Space Bureau seeks to refresh the record on proposed rules to permit the use of additional frequency bands for non-geostationary orbit (“NGSO”) Fixed Satellite Service (“FSS”) satellites to communicate with Earth Stations in Motion (“ESIMs”).90 Federal Register (FR) 59783, 22 December 2025; Title 47 Code of Federal Regulations (CFR) Part 25https://www.govinfo.gov/content/pkg/FR-2025-12-22/html/2025-23638.htmhttps://www.govinfo.gov/content/pkg/FR-2025-12-22/pdf/2025-23638.pdfThis extension of the comment period to the proposed rule is identified by IB Docket Nos. 17-95 and 18-315. A document released 10 December 2025 is available for public inspection online at https://docs.fcc.gov/​public/​attachments/​DA-25-1045A1.pdf. The document adopted on 13 May 2020 and released on 14 May 2020 is available at https://docs.fcc.gov/public/attachments/FCC-20-66A1.pdf.  Documents are also accessible from the FCC's Electronic Document Management System (EDOCS) by searching the Docket Numbers._x000D_
Comments are due on or before 21 January 2026; reply comments are due on or before 4pm Eastern Time 5 February 2026. WTO Members and their stakeholders are asked to submit comments to the USA TBT Enquiry Point by or before 4pm Eastern Time on 5 February 2026. Comments received from WTO Members and their stakeholders will be shared with FCC and will also be submitted to the FCC's Electronic Comment Filing System (ECFS) if received within the comment period. Comments (filings) accessible at https://www.fcc.gov/ecfs/search/search-filings/results?q=(proceedings.name:(%2217-95%22%20OR%20%2218-315%22))_x000D_
</t>
  </si>
  <si>
    <t>Earth stations in motion (EISMs)</t>
  </si>
  <si>
    <t>8802 - Powered aircraft "e.g. helicopters and aeroplanes"; spacecraft, incl. satellites, and suborbital and spacecraft launch vehicles; 8802 - Powered aircraft "e.g. helicopters and aeroplanes"; spacecraft, incl. satellites, and suborbital and spacecraft launch vehicles</t>
  </si>
  <si>
    <t>33.030 - Telecommunication services. Applications; 33.030 - Telecommunication services. Applications; 33.040 - Telecommunication systems; 33.040 - Telecommunication systems; 33.070 - Mobile services; 33.070 - Mobile services</t>
  </si>
  <si>
    <t>Draft Amendments No. 1 to the Technical Regulation of Customs Union «On safety of explosives and products on their basis» (TR CU 028/2012) </t>
  </si>
  <si>
    <t>Clarification of certain provisions of the Technical regulations regarding the establishment of a list of indicators required to assess the safety of explosives and products on their basis to confirm compliance with the requirements of the Technical regulations based on the results of its application.</t>
  </si>
  <si>
    <t>Explosives and products on their basis</t>
  </si>
  <si>
    <t>13.230 - Explosion protection; 71.100.30 - Explosives. Pyrotechnics and fireworks</t>
  </si>
  <si>
    <t>Prevention of deceptive practices and consumer protection (TBT); Protection of human health or safety (TBT); Other (TBT)</t>
  </si>
  <si>
    <t>Protection of human life and health, property, prevention of actions misleading consumers.</t>
  </si>
  <si>
    <t>Draft Amendments to the Technical Regulation of Customs Union «On safety of explosives and products on their basis» (TR CU 028/2012)https://regulation.eaeunion.org/pd/3293/</t>
  </si>
  <si>
    <t>Order of the Ministry of Health of Ukraine No. 1668  "On Approval of the Procedure for Conducting the Examination of Registration Dossiers for State Registration of Hazardous Factors and Requirements for Registration Dossiers" of 03 November 2025</t>
  </si>
  <si>
    <t>The Order approves the Procedure for the examination of registration dossiers submitted for the state registration of hazardous factors and sets the requirements for such dossiers._x000D_
It is adopted in implementation of the Procedure for State Registration of Hazardous Factors, approved by the Resolution of the Cabinet of Ministers of Ukraine No. 588 of 21 May 2025 (notified in document G/TBT/N/UKR/274/Rev.2/Add.1)._x000D_
The Order provides for the regulation of the procedure for the examination of registration dossiers by an authorized expert institution, namely the State Enterprise "Committee on Hygienic Regulation of the Ministry of Health of Ukraine", and ensures uniform and consistent procedures for the state registration of hazardous factors.</t>
  </si>
  <si>
    <t>Chemicals and substances of biological origin, as well as those that are part of mixed products</t>
  </si>
  <si>
    <r>
      <rPr>
        <sz val="11"/>
        <rFont val="Calibri"/>
      </rPr>
      <t>https://members.wto.org/crnattachments/2025/TBT/UKR/25_09202_00_x.pdf</t>
    </r>
  </si>
  <si>
    <t>Laws of Ukraine “On Public Health System”, "On Chemical Safety and Chemicals Management" (notified in document G/TBT/N/UKR/176/Add.3);Resolution of the Cabinet of Ministers of Ukraine No. 588 "On Approval of the Procedure for State Registration of Hazardous Factors" of 21 May 2025 (notified in document G/TBT/N/UKR/274/Rev.2/Add.1)</t>
  </si>
  <si>
    <t>Public Consultation 48, 11 December 2025 </t>
  </si>
  <si>
    <t>Telecommunication equipment</t>
  </si>
  <si>
    <t>33.020 - Telecommunications in general; 33.020 - Telecommunications in general</t>
  </si>
  <si>
    <t>Consumer information</t>
  </si>
  <si>
    <r>
      <rPr>
        <sz val="11"/>
        <rFont val="Calibri"/>
      </rPr>
      <t>https://members.wto.org/crnattachments/2025/TBT/BRA/modification/25_09220_00_x.pdf</t>
    </r>
  </si>
  <si>
    <t>Proposal to amend Schedule 20 of the revised Australia New Zealand Food Standards Code (9 December 2025)</t>
  </si>
  <si>
    <t>This Proposal seeks to amend the Australia New Zealand Food Standards Code to align the following maximum residue limits (MRLs) for various agricultural and veterinary chemicals so that they are consistent with other national regulations relating to the safe and effective use of agricultural and veterinary chemicals:Clothianidin, Fluazinam, Ipconazole, Isocycloseram, Mefentrifluconazole and Pyraclostrobin in specified plant commodities.</t>
  </si>
  <si>
    <t>Adoption anticipated February 2026.</t>
  </si>
  <si>
    <t>Entry into force anticipated February 2026.</t>
  </si>
  <si>
    <r>
      <rPr>
        <sz val="11"/>
        <rFont val="Calibri"/>
      </rPr>
      <t>https://www.apvma.gov.au/sites/default/files/2025-12/Gazette%20No%2025%2C%20Tuesday%209%20December%202025.docx_0.pdf</t>
    </r>
  </si>
  <si>
    <t>Certain proposed limits may differ from Codex limits.
The scientific methodology used by Australia to establish MRLs is consistent with international best practice and follows a rigorous scientific risk analysis including dietary exposure assessment to chemical residues from potentially treated foods. Countries set MRLs according to the good agricultural practice (GAP) or good veterinary practice (GVP) applicable to their region.  Agricultural and veterinary chemical use patterns differ between different production regions and countries as pests, diseases and environmental factors vary.  This means that Australian MRLs for agricultural and veterinary chemicals in food may differ from Codex standards. 
Australia’s residues assessment processes for agricultural chemicals are available at: https://apvma.gov.au/node/1037. 
Australia’s residues assessment processes for veterinary chemicals are available at: https://apvma.gov.au/node/719.</t>
  </si>
  <si>
    <t>The Government of Canada intends to make the Order Providing for Reliance on Decisions of, or Documents Produced by, Foreign Regulatory Authorities in Respect of Certain Drugs (the Order). This Order would deem the requirement for the Minister to examine specified information and material in a new drug submission to have been met based on decisions or documents produced by certain foreign regulatory authorities (FRAs). To ensure that the Order does not introduce unacceptable risks or uncertainties to health, safety or, if applicable, the environment, it would set out requirements that would need to be met, including that the drug belongs to a class of drugs identified on a list incorporated by reference (IbR List), that the manufacturer demonstrates that the drug has been authorized by an FRA on the IbR List that relates to the class, and that any differences in the drug related to the part of the submission that the manufacturer seeks to have deemed in comparison to the drug authorized by the FRA would not negatively impact its safety or effectiveness. Information in the submission relating to those differences would be examined by the Minister along with other aspects of the submission unique to the Canadian market (e.g., labelling). Where the Minister considers that the differences could potentially negatively impact the safety and effectiveness of the drug, deeming would not be used for that component of the submission and a full examination would take place.Health Canada uses its existing authorities under the Food and Drugs Act and the Food and Drug Regulations (FDR) to consider information or other material obtained from other regulatory authorities in its examination of new drug submissions. To further support and increase the Department’s use of reliance on FRAs, the Order would, where the requirements of the Order are met, deem parts of the Minister’s examination to have been completed on the basis of an FRA’s decision or document(s) under the following three scenarios: drug submissions for which a decision has already been made by an FRA about a foreign drug (General Deeming), drug submissions for which a decision by an FRA to authorize a foreign drug has not yet been made, provided the submissions are filed in Canada within 120 days of being filed with an FRA (120-day Filing), anddrug submissions subject to joint review by Health Canada with one or more FRAs (Joint Reviews).</t>
  </si>
  <si>
    <t>These proposed Regulations would come into force on the day of their publication in the Canada Gazette, Part II.</t>
  </si>
  <si>
    <r>
      <rPr>
        <sz val="11"/>
        <rFont val="Calibri"/>
      </rPr>
      <t>https://gazette.gc.ca/rp-pr/p1/2025/2025-12-20/html/reg4-eng.html</t>
    </r>
  </si>
  <si>
    <t>Canada Gazette, Part I, December 20, 2025, pages 2661–2718, https://gazette.gc.ca/rp-pr/p1/2025/2025-12-20/pdf/g1-15951.pdf#page=203, (available in English and French)</t>
  </si>
  <si>
    <t>Notice of changes to Brucella canis import conditions</t>
  </si>
  <si>
    <t>Biosecurity import conditions for the management of Brucella canis are being updated to align with the department’s policy review on the Importation of dogs and cats and their semen from approved countries (2013)The policy review determined that serological testing should be conducted at least one incubation period after the last mating or insemination. This requirement helps mitigate the risk that a dog may be incubating Brucella canis at the time of blood sample collection. Accordingly, dogs must not be naturally mated or artificially inseminated for at least 21 days before blood is collected for Brucella canis testing, and until export. This extends the previous requirement of 14 days.All import permits issued from 2 March 2026 onwards will reflect these updated conditions. </t>
  </si>
  <si>
    <t>010619 - Live mammals (excl. primates, whales, dolphins and porpoises, manatees and dugongs, seals, sea lions and walruses, camels and other camelids, rabbits and hares, horses, asses, mules, hinnies, bovines, pigs, sheep and goats)</t>
  </si>
  <si>
    <r>
      <rPr>
        <sz val="11"/>
        <rFont val="Calibri"/>
      </rPr>
      <t>https://www.agriculture.gov.au/biosecurity-trade/import/industry-advice/2025/403-2025</t>
    </r>
  </si>
  <si>
    <t>The DLD order on temporary suspension of the importation or transit of live poultry and poultry carcasses from Hungary to prevent the spread of Highly Pathogenic Avian Influenza (Subtype H5N1)</t>
  </si>
  <si>
    <t>The WOAH has reported an outbreak of Highly Pathogenic Avian Influenza (Subtype H5N1) in Csongrád-Csanád, Szentes, Szolnok and Jász-Nagykun-Szolnok of Hungary. Therefore, it is necessary for Thailand to prevent the entry of Highly Pathogenic Avian Influenza (Subtype H5N1) into the country. By the virtue of the Animal Epidemics Act B.E. 2558 (2015), the importation or transit of live poultry and poultry carcasses from Csongrád-Csanád, Szentes, Szolnok and Jász-Nagykun-Szolnok of Hungary has been temporarily suspended.</t>
  </si>
  <si>
    <t>0105 - Live poultry, "fowls of the species Gallus domesticus, ducks, geese, turkeys and guinea fowls"; 0207 - Meat and edible offal of fowls of the species Gallus domesticus, ducks, geese, turkeys and guinea fowls, fresh, chilled or frozen</t>
  </si>
  <si>
    <t>Animal health; Animal diseases; Avian Influenza; Pest- or Disease- free Regions / Regionalization</t>
  </si>
  <si>
    <t>Hungary</t>
  </si>
  <si>
    <t>NCh1970/2:2017 Maderas - Parte 2: Especies coníferas - Clasificación visual para uso estructural - Especificaciones de los grados de calidad</t>
  </si>
  <si>
    <t>1.1. The notified Standard establishes the requirements to be met by dry sawn or planed wood (moisture content ≤ 20%) of softwood species, intended for structural use and classified visually. 1.2. The softwood species to which this Standard applies are listed in Table 1. Table 1 - Softwood species grown in Chile for structural use - Common name - Botanical name - Structural group in dry state under Chilean Standard (NCh) No. 1989; Guaitecas cypress - Pilgerodendron uvifera - ES6; Chilean cedar - Austrocedrus chilensis - ES5; Prince Albert yew - Saxegothaea conspicua - ES6; Willow-leaf podocarp - Podocarpus saligna - ES4; Chilean Totara - Podocarpus nubigena - ES5; Douglas fir - Pseudotsuga menziesii - ES5. NOTE: The wood of softwood species that do not appear in this list, except for Pinus radiata, may be classified using the specifications in this Standard, provided that due account is taken of the structural group, in dry state, to which it belongs.</t>
  </si>
  <si>
    <t>Madera aserrada o cepillada seca proveniente de especies coníferas</t>
  </si>
  <si>
    <t>44 - WOOD AND ARTICLES OF WOOD; WOOD CHARCOAL</t>
  </si>
  <si>
    <t>79 - WOOD TECHNOLOGY</t>
  </si>
  <si>
    <t>SI 1505 part 1 - Drinking water treatment systems: Systems except reverse osmosis systems</t>
  </si>
  <si>
    <t>Drinking water treatment systems</t>
  </si>
  <si>
    <t>84198 - - Other machinery, plant and equipment:; 842121 - Machinery and apparatus for filtering or purifying water; 842121 - Machinery and apparatus for filtering or purifying water; 84198 - - Other machinery, plant and equipment:</t>
  </si>
  <si>
    <r>
      <rPr>
        <sz val="11"/>
        <rFont val="Calibri"/>
      </rPr>
      <t>https://members.wto.org/crnattachments/2025/TBT/ISR/final_measure/25_09213_00_x.pdf</t>
    </r>
  </si>
  <si>
    <t>Draft Order of the Ministry of Health of Ukraine “On Approval of Amendments to the Procedure for Conducting Clinical Trials of Medicines and the Examination of Clinical Trial Materials”</t>
  </si>
  <si>
    <t>The draft Order has been developed to enhance the system for organizing and conducting of clinical trials of medicines in Ukraine in accordance with Regulation (EU) No 536/2014 of the European Parliament and of the Council of 16 April 2014 on clinical trials on medicinal products for human use, and repealing Directive 2001/20/EC, and in line with ICH-GCP Guidelines._x000D_
The draft Order proposes to update requirements for clinical trial documentation, introduce new terms (including auxiliary and advanced  therapy medicines, early termination of a clinical trial, start of a clinical trial, end of a clinical trial, and batch certification of the investigational medicines), establish labeling requirements, define the concept of co-sponsorship, and allow the conduct of low-intervention clinical trials.</t>
  </si>
  <si>
    <t>This Order will enter into force on the date of its officcial publication.</t>
  </si>
  <si>
    <r>
      <rPr>
        <sz val="11"/>
        <rFont val="Calibri"/>
      </rPr>
      <t>https://members.wto.org/crnattachments/2025/TBT/UKR/25_09234_00_x.pdf
https://members.wto.org/crnattachments/2025/TBT/UKR/25_09234_01_x.pdf
https://moz.gov.ua/uk/povidomlennya-pro-oprilyudnennya-proyektu-nakazu-ministerstva-ohoroni-zdorov-ya-ukrayini-pro-zatverdzhennya-zmin-do-poryadku-provedennya-klinichnih-viprobuvan-likarskih-zasobiv-ta-ekspertizi-materialiv-klinichnih-viprobuvan</t>
    </r>
  </si>
  <si>
    <t>Law of Ukraine No. 123/96-BР of 04 April 1996 "On Medicines" (as amended);Order of the Ministry of Health of Ukraine No. 690 “On Approval of the Procedure for Conducting Clinical Trials of Medicines and the Examination of Clinical Trial Materials and the Model Regulation on Ethics Committees" of 23 September 2009 (as amended by the Order of the Ministry of Health of Ukraine No. 523 of 12 July 2012), available in Ukrainian at https://zakon.rada.gov.ua/laws/show/z1010-09#Text</t>
  </si>
  <si>
    <t>Space Bureau Extends Comment and Reply Comment Deadlines for Notice of Proposed Rulemaking Regarding Facilitating More Intensive Use of Upper Microwave Spectrum</t>
  </si>
  <si>
    <t>In the document, the Space Bureau extends the comment and reply comment deadlines for the Facilitating More Intensive Use of Upper Microwave Spectrum Notice of Proposed Rulemaking in SB Docket No. 25-305, FCC 25-70, that was released on 29 October 2025 and published in the Federal Register on 3 December 2025.90 Federal Register (FR) 59784, 22 December 2025; Title 47 Code of Federal Regulations (CFR) Part 10https://www.govinfo.gov/content/pkg/FR-2025-12-22/html/2025-23625.htmhttps://www.govinfo.gov/content/pkg/FR-2025-12-22/pdf/2025-23625.pdfThis extension of the comment period to the proposed rule is identified by SB Docket No. 25-305FCC 25-70. The full text of the proposed rule is available from the Commission's website at https://docs.fcc.gov/public/attachments/DA-25-1060A1.pdf. Documents are also accessible from the FCC's Electronic Document Management System (EDOCS) by searching the Docket Number.Comments are due on or before 20 January 2026; reply comments are due on or before 4pmEastern Time 18 February 2026. WTO Members and their stakeholders are asked to submit comments to the USA TBT Enquiry Point by or before 4pmEastern Time on 18 February 2026. Comments received from WTO Members and their stakeholders will be shared with FCC and will also be submitted to the FCC's Electronic Comment Filing System (ECFS) if received within the comment period. Comments (filings) accessible at https://www.fcc.gov/ecfs/search/search-filings/results?q=(proceedings.name:(%2225-305%22))</t>
  </si>
  <si>
    <t>Broadband and mobile services, wireless telecommunication; Telecommunication systems (ICS code(s): 33.040); Radiocommunications (ICS code(s): 33.060); Mobile services (ICS code(s): 33.070)</t>
  </si>
  <si>
    <t>33.040 - Telecommunication systems; 33.060 - Radiocommunications; 33.070 - Mobile services; 33.040 - Telecommunication systems; 33.060 - Radiocommunications; 33.070 - Mobile services</t>
  </si>
  <si>
    <t>Partial Amendment Notice (Draft) of Standards and Specifications for Health Functional Foods (Notice No. 2025-524, 23 December 2025)</t>
  </si>
  <si>
    <t>The proposed amendments seek to:a. Addition of recognized functional claims for functional ingredients;b. Revision of testing methods for individual components.</t>
  </si>
  <si>
    <t>Health functional food products</t>
  </si>
  <si>
    <r>
      <rPr>
        <sz val="11"/>
        <rFont val="Calibri"/>
      </rPr>
      <t>https://members.wto.org/crnattachments/2025/SPS/KOR/25_09229_00_x.pdf</t>
    </r>
  </si>
  <si>
    <t>Ministerial Decision number 2162 for 2025 (Türkiye)</t>
  </si>
  <si>
    <t>Decision  to  lift the ban on  poultry  meat  (fresh,  chilled,  frozen  and processed)  of  all  types  from  Türkiye due to the end of the outbreak of avian influenza.</t>
  </si>
  <si>
    <t>Avian Influenza; Animal health; Animal diseases; Food safety; Human health; Modification of content/scope of regulation; Pest- or Disease- free Regions / Regionalization; Withdrawal of the measure; Avian Influenza; Human health; Animal health; Food safety; Animal diseases; Pest- or Disease- free Regions / Regionalization</t>
  </si>
  <si>
    <r>
      <rPr>
        <sz val="11"/>
        <rFont val="Calibri"/>
      </rPr>
      <t>https://members.wto.org/crnattachments/2025/SPS/KWT/25_09235_00_x.pdf</t>
    </r>
  </si>
  <si>
    <t>Clinical Trials Regulations (145 pages, available in English and French) &amp; Regulations Amending Certain Regulations Relating to Clinical Trials (8 pages, available in English and French)</t>
  </si>
  <si>
    <t>The proposed Regulations would establish a new, standalone regulatory framework under the Food and Drugs Act for clinical trials involving drugs for human use. This proposed framework would replace the existing clinical trial regulatory schemes for drugs in Part C, Division 5 of the Food and Drug Regulations (FDR) and Part 2 of the Clinical Trials for Medical Devices and Drugs Relating to COVID-19 Regulations (COVID-19 CT Regulations). It would regulate both the conduct of clinical trials and the importation and sale of drugs used in these trials. Specifically, it would establish requirements for the importation and sale of drugs to be used in a clinical trial as well as the application process for the issuance of an authorization to conduct a trial and the oversight mechanisms.  It would also set out requirements for good clinical practices, reporting, and other activities related to clinical trials. Additionally, the proposed Regulations would repeal Part C, Division 5 of the FDR and Part 2 of the COVID-19 CT Regulations and would make several consequential amendments to other provisions of the FDR, the COVID-19 CT Regulations and other related regulations to align them with the new framework.  </t>
  </si>
  <si>
    <t xml:space="preserve">-	Clinical Trials Regulations: These proposed Regulations come into force on the first anniversary of the day on which they are published in the Canada Gazette, Part II.
-	Regulations Amending Certain Regulations Relating to Clinical Trials: These proposed Regulations come into force on the day which the Clinical Trials Regulations come into force.
</t>
  </si>
  <si>
    <r>
      <rPr>
        <sz val="11"/>
        <rFont val="Calibri"/>
      </rPr>
      <t xml:space="preserve">https://gazette.gc.ca/rp-pr/p1/2025/2025-12-20/html/reg2-eng.html
https://gazette.gc.ca/rp-pr/p1/2025/2025-12-20/html/reg3-eng.html 
</t>
    </r>
  </si>
  <si>
    <t>Clinical Trials Regulationshttps://gazette.gc.ca/rp-pr/p1/2025/2025-12-20/html/reg2-eng.html (available in English and French)Regulations Amending Certain Regulations Relating to Clinical Trials:https://gazette.gc.ca/rp-pr/p1/2025/2025-12-20/html/reg3-eng.html (available in English and French)Clinical Trials Modernization: Consultation Paper: https://www.canada.ca/en/health-canada/programs/consultation-clinical-trials-regulatory-modernization-initiative/document.html (available in English and French)What we heard: Consultations on clinical trials regulatory modernization initiative (spring and summer 2021): https://www.canada.ca/en/health-canada/programs/consultation-clinical-trials-regulatory-modernization-initiative/what-we-heard.html(available in English and French)</t>
  </si>
  <si>
    <t>SI 1353 - Sheets of ceramic or glass mosaic tiles</t>
  </si>
  <si>
    <t>Sheets of ceramic or glass mosaic tiles (HS code(s): 6907); (ICS code(s): 81.040.30; 91.100.23)</t>
  </si>
  <si>
    <t>6907 - Ceramic flags and paving, hearth or wall tiles; ceramic mosaic cubes and the like, whether or not on a backing (excl. of siliceous fossil meals or similar siliceous earths, refractory goods, tiles specially adapted as table mats, ornamental articles and tiles specifically manufactured for stoves); 6907 - Ceramic flags and paving, hearth or wall tiles; ceramic mosaic cubes and the like, whether or not on a backing (excl. of siliceous fossil meals or similar siliceous earths, refractory goods, tiles specially adapted as table mats, ornamental articles and tiles specifically manufactured for stoves)</t>
  </si>
  <si>
    <t>81.040.30 - Glass products; 91.100.23 - Ceramic tiles; 81.040.30 - Glass products; 91.100.23 - Ceramic tiles</t>
  </si>
  <si>
    <r>
      <rPr>
        <sz val="11"/>
        <rFont val="Calibri"/>
      </rPr>
      <t>https://members.wto.org/crnattachments/2025/TBT/ISR/final_measure/25_09215_00_x.pdf</t>
    </r>
  </si>
  <si>
    <t>Draft Amendments No. 2 to the Technical Regulation of the Eurasian Economic Union "On Safety of Packaged Potable Water Including Natural Mineral Water" (TR EAEU 044/2017)</t>
  </si>
  <si>
    <t>Description of content: Draft Amendments No. 2 to TR EAEU 044/2017: - introduces a number of requirements for the labeling of natural mineral waters, natural and treated potable waters, and for confirming the compliance of labeling during the declaration or state registration of packaged potable waters, aiming to protect consumers from incomplete or unreliable information regarding the origin, safety, and properties of potable waters; - revises, based on many years of experience in using mineral potable waters, methods of their therapeutic and prophylactic application, toxicological studies, and taking into account the requirements of international, interstate, and national standards, the permissible levels of fluorides in natural mineral waters concerning table waters, manganese, and requirements for assessing radiation safety concerning therapeutic and therapeutic-table waters; - eliminates a number of editorial and technical inconsistencies.</t>
  </si>
  <si>
    <t>Packaged Potable Water </t>
  </si>
  <si>
    <t>2201 - Waters, incl. natural or artificial mineral waters and aerated waters, not containing added sugar, other sweetening matter or flavoured; ice and snow; 2202 - Waters, incl. mineral waters and aerated waters, containing added sugar or other sweetening matter or flavoured, and other non-alcoholic beverages (excl. fruit, nut or vegetable juices and milk)</t>
  </si>
  <si>
    <t>Draft Amendments No. 2 to TR EAEU 044/2017 were prepared considering the practice of its application and are aimed at clarifying certain provisions and requirements of the technical regulation in order to prevent actions misleading consumers of packaged potable water, including natural mineral water, protect human life and health, and eliminate a number of editorial and technical inconsistencies.</t>
  </si>
  <si>
    <t>Not less than 180 days from adoption of the technical regulation.</t>
  </si>
  <si>
    <r>
      <rPr>
        <sz val="11"/>
        <rFont val="Calibri"/>
      </rPr>
      <t>https://members.wto.org/crnattachments/2025/TBT/KGZ/25_09230_00_x.pdf</t>
    </r>
  </si>
  <si>
    <t>Draft Amendments No. 2 to the Technical Regulation of the Eurasian Economic Union "On Safety of Packaged Potable Water Including Natural Mineral Water" (TR EAEU 044/2017) https://regulation.eaeunion.org/pd/3290/ Technical Regulation of the Eurasian Economic Union "On Safety of Packaged Potable Water Including Natural Mineral Water" (TR EAEU 044/2017) https://eec.eaeunion.org/comission/department/deptexreg/tr/tr_EAEU_044-2017.php</t>
  </si>
  <si>
    <t>Requisitos fitosanitarios para la importación de semillas de sorgo (Sorghum bicolor) procedentes de Brasil (Phytosanitary requirements for the importation of sorghum (Sorghum bicolor) seeds from Brazil)Peru's National Agrarian Health Service (SENASA) hereby advises that Directorial Resolution No. D000047-2025-MIDAGRI-SENASA-DSV, which establishes the phytosanitary requirements governing the importation of sorghum (Sorghum bicolor) seeds from Brazil, was published in the Official Journal El Peruano on 14 December 2025.https://members.wto.org/crnattachments/2025/SPS/PER/25_09239_00_s.pdf</t>
  </si>
  <si>
    <t>Sorghum seeds for sowing (HS code: 100710)</t>
  </si>
  <si>
    <t>100710 - Grain sorghum, for sowing; 100710 - Grain sorghum, for sowing</t>
  </si>
  <si>
    <r>
      <rPr>
        <sz val="11"/>
        <rFont val="Calibri"/>
      </rPr>
      <t>https://members.wto.org/crnattachments/2025/SPS/PER/25_09239_00_s.pdf</t>
    </r>
  </si>
  <si>
    <t>The DLD order on temporary suspension of the importation or transit of live poultry and poultry carcasses from the United Kingdom to prevent the spread of Highly Pathogenic Avian Influenza</t>
  </si>
  <si>
    <t>The WOAH has reported an outbreak of Highly Pathogenic Avian Influenza in the area of the United Kingdom. Therefore, it is necessary for Thailand to prevent the entry of Highly Pathogenic Avian Influenza into the country. By the virtue of the Animal Epidemics Act B.E. 2558 (2015), the importation or transit of live poultry and poultry carcasses from certain areas of the United Kingdom has been temporarily suspended.</t>
  </si>
  <si>
    <t>Modification of content/scope of regulation; Avian Influenza; Animal health; Animal diseases; Pest- or Disease- free Regions / Regionalization; Pest- or Disease- free Regions / Regionalization; Avian Influenza; Animal diseases; Animal health</t>
  </si>
  <si>
    <r>
      <rPr>
        <sz val="11"/>
        <rFont val="Calibri"/>
      </rPr>
      <t>https://members.wto.org/crnattachments/2025/SPS/THA/25_09275_00_e.pdf</t>
    </r>
  </si>
  <si>
    <t>SI 1505 part 2 - Drinking water treatment systems: Reverse osmosis systems</t>
  </si>
  <si>
    <t>842121 - Machinery and apparatus for filtering or purifying water; 84198 - - Other machinery, plant and equipment:; 842121 - Machinery and apparatus for filtering or purifying water; 84198 - - Other machinery, plant and equipment:</t>
  </si>
  <si>
    <r>
      <rPr>
        <sz val="11"/>
        <rFont val="Calibri"/>
      </rPr>
      <t>https://members.wto.org/crnattachments/2025/TBT/ISR/final_measure/25_09214_00_x.pdf</t>
    </r>
  </si>
  <si>
    <t>Ministerial Decision number 2167 for 2025 (Portugal)</t>
  </si>
  <si>
    <t>Decision to ban poultry meat (fresh, chilled, frozen and processed) of all types from Santarem, Portugal due to an outbreak of highly pathogenic avian influenza.</t>
  </si>
  <si>
    <t>Animal diseases; Food safety; Animal health; Human health; Avian Influenza; Pest- or Disease- free Regions / Regionalization</t>
  </si>
  <si>
    <t>Santarem, Portugal</t>
  </si>
  <si>
    <r>
      <rPr>
        <sz val="11"/>
        <rFont val="Calibri"/>
      </rPr>
      <t>https://members.wto.org/crnattachments/2025/SPS/KWT/25_09231_00_x.pdf</t>
    </r>
  </si>
  <si>
    <t>NCh223:2020 Construcción - Planchas de acero recubiertas conformadas en frío - Requisitos</t>
  </si>
  <si>
    <t>1.1. The notified Standard establishes the requirements, dimensions, recommended test methods and sampling systems for cold-formed steel sheets that are covered with a 55% aluminium-zinc coating or other anti-corrosive metallic coatings obtained through a hot-dip process. 1.2. The Standard applies to cold-formed sheets with the following geometries: corrugated 18, corrugated 14, panel 5 bands, panel 4 trapezoids, and panel 6 trapezoids. 1.3 The Standard may be applied to cold-formed steel sheets of other geometries that are covered with a 55% aluminium-zinc coating or other anti-corrosive metallic coatings obtained through a hot-dip process. 1.4. The Standard does not apply to sheets for architectural use. The requirements governing steel are to be defined by Chilean Standard (NCh) No. 3357, and the fastening elements must be checked to ensure they meet the load conditions controlling the design.</t>
  </si>
  <si>
    <t>Planchas de acero recubiertas conformadas en frío</t>
  </si>
  <si>
    <t>77.140 - Iron and steel products</t>
  </si>
  <si>
    <t>Decreto Supremo N°47 de 1992 (Ordenanza General de Urbanismo y Construcciones)G/TBT/N/CHL/768- 2 -</t>
  </si>
  <si>
    <t>NCh523:2020 Carpintería de aluminio - Puertas y ventanas - Requisitos</t>
  </si>
  <si>
    <t>1.1. The notified Standard establishes the requirements to be met by aluminium doors and windows to ensure their effective functioning, durability and user safety. 1.2. The Standard applies to aluminium doors and windows for exterior and interior use in houses, residential, commercial, institutional and educational buildings, health facilities and other similar buildings. 1.3. The Standard does not apply to security doors, heavy-duty non-residential doors such as those used in industrial warehouses, or movable façades providing public access and/or access for vehicles or animals. 1.4. The Standard does not apply to aluminium curtain walls, although the moving or opening parts of such walls must meet the requirements established therein.</t>
  </si>
  <si>
    <t>Puertas y ventanas de aluminio</t>
  </si>
  <si>
    <t>77.150.10 - Aluminium products; 91.060.50 - Doors and windows</t>
  </si>
  <si>
    <t>NCh1970/1:2017 Maderas - Parte 1: Especies latifoliadas - Clasificación visual para uso estructural - Especificaciones de los grados de calidad</t>
  </si>
  <si>
    <t>1.1. The notified Standard establishes the requirements to be met by sawn or planed wood of hardwood species, intended for structural use and classified visually. 1.2. The Standard may be applied to any wood of hardwood species used for structural purposes, regardless of its moisture content. The most efficient use, however, is achieved with a moisture content equivalent to the equilibrium moisture of the place of use. The use of green wood is justified only for technical service reasons or because of the difficulties involved in the drying process for certain wood species.</t>
  </si>
  <si>
    <t>Madera aserrada o cepillada proveniente de especies latifoliadas</t>
  </si>
  <si>
    <t>79.040 - Wood, sawlogs and sawn timber; 91.080.20 - Timber structures</t>
  </si>
  <si>
    <t>Letter of the Federal Service for Veterinary and Phytosanitary Surveillance No. FS-ARe-7/6879-3 as of 22 December 2025</t>
  </si>
  <si>
    <t>This letter introduces temporary restrictions on the imports of live poultry and poultry products to the territory of the Russian Federation, as well as on the transit of live poultry through the territory of the Russian Federation from Peru due to the outbreak of Newcastle disease in the country indicated.</t>
  </si>
  <si>
    <t>Live poultry, egg products, meat and edible offal of poultry, poultry meat products, incubation egg of poultry, incubation egg (except poultry egg), live bird (except poultry), feed and feed additives for birds, equipment for the maintenance, slaughter and cutting of birds (HS code(s): 0105; 0207; 0208; 0209; 0210; 0407; 0408; 0410; 0504; 0505; 0511; 1506; 1510; 1516; 1518; 1601; 1602; 1603; 1902; 1904; 2102; 2104; 2106; 2309; 2936; 3504; 3507; 3808; 3824; 3923; 3926; 4206; 4415; 4416; 4421; 7020; 7309; 7310; 7326; 7616; 8436; 8606; 8609; 8716)</t>
  </si>
  <si>
    <t>0105 - Live poultry, "fowls of the species Gallus domesticus, ducks, geese, turkeys and guinea fowls"; 2936 - Provitamins and vitamins, natural or reproduced by synthesis, incl. natural concentrates, derivatives thereof used primarily as vitamins, and intermixtures of the foregoing, whether or not in any solvent; 3504 - Peptones and their derivatives; other protein substances and their derivatives, not elsewhere specified or included; hide powder, whether or not chromed.; 3507 - Enzymes; prepared enzymes, n.e.s.; 3808 - Insecticides, rodenticides, fungicides, herbicides, anti-sprouting products and plant-growth regulators, disinfectants and similar products, put up for retail sale or as preparations or articles, e.g. sulphur-treated bands, wicks and candles, and fly-papers; 3824 - Prepared binders for foundry moulds or cores; chemical products and preparations for the chemical or allied industries, incl. mixtures of natural products, n.e.s.; 3923 - Articles for the conveyance or packaging of goods, of plastics; stoppers, lids, caps and other closures, of plastics; 3926 - Articles of plastics and articles of other materials of heading 3901 to 3914, n.e.s.; 4415 - Packing cases, boxes, crates, drums and similar packings, of wood; cable-drums of wood; pallets, box pallets and other load boards, of wood; pallet collars of wood (excl. containers specially designed and equipped for one or more modes of transport); 2309 - Preparations of a kind used in animal feeding; 4416 - Casks, barrels, vats, tubs and other coopers' products and parts thereof, of wood, including staves.; 7020 - Other articles of glass.; 7309 - Reservoirs, tanks, vats and similar containers for any material (other than compressed or liquefied gas), of iron or steel, of a capacity exceeding 300 l, whether or not lined or heat-insulated, but not fitted with mechanical or thermal equipment.; 7310 - Tanks, casks, drums, cans, boxes and similar containers, of iron or steel, for any material "other than compressed or liquefied gas", of a capacity of &lt;= 300 l, not fitted with mechanical or thermal equipment, whether or not lined or heat-insulated, n.e.s.; 7326 - Articles of iron or steel, n.e.s. (excl. cast articles); 7616 - Articles of aluminium, n.e.s.; 8436 - Agricultural, horticultural, forestry, poultry-keeping or bee-keeping machinery, incl. germination plant fitted with mechanical or thermal equipment; poultry incubators and brooders; parts thereof; 8606 - Railway or tramway goods vans and wagons (excl. self-propelled and luggage vans and post office coaches); 8609 - Containers (including containers for the transport of fluids) specially designed and equipped for carriage by one or more modes of transport.; 4421 - Other articles of wood, n.e.s.; 2106 - Food preparations, n.e.s.; 2104 - Soups and broths and preparations therefor; food preparations consisting of finely homogenised mixtures of two or more basic ingredients such as meat, fish, vegetables or fruit, put up for retail sale as infant food or for dietetic purposes, in containers of &lt;= 250 g; 2102 - Yeasts, active or inactive; other dead single-cell micro-organisms, prepared baking powders (excl. single-cell micro-organisms packaged as medicaments);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0210 - Meat and edible offal, salted, in brine, dried or smoked; edible flours and meals of meat or meat offal; 0407 - Birds' eggs, in shell, fresh, preserved or cooked; 0408 - Birds' eggs, not in shell, and egg yolks, fresh, dried, cooked by steaming or by boiling in water, moulded, frozen or otherwise preserved, whether or not containing added sugar or other sweetening matter; 0410 - Insects, turtles' eggs, birds' nests and other edible products of animal origin, n.e.s.; 0504 - Guts, bladders and stomachs of animals (other than fish), whole and pieces thereof, fresh, chilled, frozen, salted, in brine, dried or smoked.; 0505 - Skins and other parts of birds, with their feathers or down, feathers and parts of feathers, whether or not with trimmed edges, and down, not further worked than cleaned, disinfected or treated for preservation; powder and waste of feathers or parts of feathers; 0511 - Animal products n.e.s.; dead animals of all types, unfit for human consumption; 1506 - Other animal fats and oils and their fractions, whether or not refined, but not chemically modified.; 1510 - Other oils and their fractions, obtained solely from olives, whether or not refined, but not chemically modified, incl. blends of these oils or fractions with oils or fractions of heading 1509; 1516 - Animal, vegetable or microbial fats and oils and their fractions, partly or wholly hydrogenated, inter-esterified, re-esterified or elaidinised, whether or not refined, but not further prepared; 1518 - Animal, vegetable or microbial fats and oils and their fractions, boiled, oxidised, dehydrated, sulphurised, blown, polymerised by heat in vacuum or in inert gas or otherwise chemically modified, excluding those of heading 15.16; inedible mixtures or preparations of animal, vegetable or microbial fats or oils or of fractions of different fats or oils of this Chapter, not elsewhere specified or included.; 1601 - Sausages and similar products, of meat, meat offal, blood or insects; food preparations based on these products.; 1602 - Prepared or preserved meat, meat offal, blood or insects (excl. sausages and similar products, and meat extracts and juices); 1603 - Extracts and juices of meat, fish or crustaceans, molluscs or other aquatic invertebrates.; 1902 - Pasta, whether or not cooked or stuffed with meat or other substances or otherwise prepared, such as spaghetti, macaroni, noodles, lasagne, gnocchi, ravioli, cannelloni; couscous, whether or not prepared; 1904 - Prepared foods obtained by the swelling or roasting of cereals or cereal products, e.g. corn flakes; cereals (other than maize "corn") in grain form or in the form of flakes or other worked grains (except flour, groats and meal), pre-cooked or otherwise prepared, n.e.s.; 8716 - Trailers and semi-trailers; other vehicles, not mechanically propelled (excl. railway and tramway vehicles); parts thereof, n.e.s.; 4206 - Articles of gut (other than silk-worm gut), of goldbeater's skin, of bladders or of tendons.</t>
  </si>
  <si>
    <t>Animal diseases; Animal health; Newcastle Disease</t>
  </si>
  <si>
    <r>
      <rPr>
        <sz val="11"/>
        <rFont val="Calibri"/>
      </rPr>
      <t>https://members.wto.org/crnattachments/2025/SPS/RUS/25_09238_00_x.pdf
https://fsvps.gov.ru/files/ukazanie-rosselhoznadzora-ot-22-dekabrja-2025-goda-fs-arje-7-6879-3/</t>
    </r>
  </si>
  <si>
    <t>DRAFT REGULATION (2025/14/AB) ON TYPE APPROVAL AND MARKET SURVEILLANCE OF NON-ROAD MOBILE MACHINERY CIRCULATING ON PUBLIC ROADS</t>
  </si>
  <si>
    <t>(1) The purpose of this Regulation is to lay down the technical requirements, administrative requirements and procedures for EU type-approval, EU individual approval, and placing on the market of all new non-road mobile machinery intended to circulate on public roads. This Regulation also lays down rules and procedures for the market surveillance of non-road mobile machinery.(2) This Regulation covers non-road mobile machinery (‘U-category vehicles’) where it is placed on the market and intended to circulate, whether occasionally or regularly, with or without a driver, on a public road. (3) This Regulation does not covera) Non-road mobile machinery with a maximum design speed exceeding 40 km/h.b) Non-road mobile machinery with a maximum design speed not exceeding 6 km/h.c) Non-road mobile machinery equipped with more than three seating positions, including the driver’s seating position.ç) Machinery, as defined in subparagraph (ğ) of the first paragraph of Article 4 of the Machinery Safety Regulation (2006/42/EC) published in the Official Gazette dated 3/3/2009 and numbered 27158, primarily intended for the transport of one or more persons, animals or goods other than instruments or auxiliaries required for the performance of work, materials resulting from or necessary for work or for intermediate storage, or materials transported on construction sites.d) vehicles, including motor vehicles, tractors, trailers, two-wheel or three-wheel vehicles, quadricycles and interchangeable towed equipment, within the scope of the Regulation on Type Approval and Market Surveillance and Inspection of Agricultural and Forestry Vehicles (EU/167/2013) published in the Official Gazette dated 14/8/2014 and numbered 29088, Regulation on Type Approval and Market Surveillance and Inspection of Two or Three Wheeled Motor Vehicles and Four Wheeled Motorcycles (EU/168/2013) published in the Official Gazette dated 22/8/2015 and numbered 29453 or Motor Vehicles and Trailers and Their Components published in the Official Gazette dated 19/4/2020 and numbered 31104, or Regulation on the Type Approval and Market Surveillance of Motor Vehicles and Their Trailers, and of Systems, Components and Separate Technical Units Intended for Such Vehicles (EU/2018/858).e) non-road mobile machinery that was placed on the market, registered or entered into service before 29/1/2028.</t>
  </si>
  <si>
    <t>Non-road mobile machinery (‘U-category vehicles’) where it is placed on the market and intended to circulate, whether occasionally or regularly, with or without a driver, on a public road. </t>
  </si>
  <si>
    <t>43.160 - Special purpose vehicles</t>
  </si>
  <si>
    <t>Protection of human health or safety (TBT); Protection of animal or plant life or health (TBT); Protection of the environment (TBT); Harmonization (TBT); Reducing trade barriers and facilitating trade (TBT); Cost saving and productivity enhancement (TBT)</t>
  </si>
  <si>
    <t>The purpose of this Regulation is to lay down the technical requirements, administrative requirements and procedures for EU type-approval, EU individual approval, and placing on the market of all new non-road mobile machinery intended to circulate on public roads. This Regulation also lays down rules and procedures for the market surveillance of non-road mobile machinery.This Regulation has been prepared within the framework of harmonization with European Union legislation, taking into account Regulation (EU) No 2025/14 of the European Parliament and of the Council of 19 December 2024 on the approval and market surveillance of non-road mobile machinery circulating on public roads and amending Regulation (EU) 2019/1020.</t>
  </si>
  <si>
    <t>This Regulation;
a) Articles 49th, 50th, 51st and Provisional Article 2 shall become effective on the date of publication,
b) Other provisions enter into force on 29/1/2028.</t>
  </si>
  <si>
    <r>
      <rPr>
        <sz val="11"/>
        <rFont val="Calibri"/>
      </rPr>
      <t>https://members.wto.org/crnattachments/2025/TBT/TUR/25_09208_00_e.pdf</t>
    </r>
  </si>
  <si>
    <t>Article 4 of the Product Safety and Technical Regulations Law No. 7223 dated 5/3/2020 and Article 388 of the Presidential Decree No. 1 on the Organization of the Presidency.Regulation (EU) No 2025/14 of the European Parliament and of the Council of 19 December 2024 on the approval and market surveillance of non-road mobile machinery circulating on public roads and amending Regulation (EU) 2019/1020.</t>
  </si>
  <si>
    <t>Notice of Administration Order of Saudi Food and Drug Authority Ref. No. 28179 dated 24 December 2025 entitled “Temporary ban on importation of poultry meat, eggs and their products originating from Calvados in France”</t>
  </si>
  <si>
    <t>Following the WOAH report dated 18 December 2025, a Highly pathogenic avian influenza (HPAI) virus outbreak has occurred in Calvados in France. In compliance with the World Organisation for Animal Health (WOAH), Terrestrial Animal Health Code Chapter 10.4, it is deemed necessary for the Kingdom of Saudi Arabia to prevent the entry of the HPAI virus into the country. Therefore, the import of poultry meat, eggs and their products from Calvados in France to the Kingdom of Saudi Arabia is temporarily suspended (with the exception of processed poultry meat and egg products exposed to either heat or other treatments that ensure deactivation of the HPAI virus, as long as it conforms with the approved health requirements, and standards, with a health certificate issued by the official bodies in France prove that the product is free from the virus).</t>
  </si>
  <si>
    <t>0407 - Birds' eggs, in shell, fresh, preserved or cooked; 0207 - Meat and edible offal of fowls of the species Gallus domesticus, ducks, geese, turkeys and guinea fowls, fresh, chilled or frozen</t>
  </si>
  <si>
    <t>Pest- or Disease- free Regions / Regionalization; Human health; Food safety; Avian Influenza; Animal health; Animal diseases</t>
  </si>
  <si>
    <r>
      <rPr>
        <sz val="11"/>
        <rFont val="Calibri"/>
      </rPr>
      <t>https://members.wto.org/crnattachments/2025/SPS/SAU/25_09237_00_x.pdf</t>
    </r>
  </si>
  <si>
    <t>Chilean Standard (NCh) No. 2264:2025 Natural gas - Specifications</t>
  </si>
  <si>
    <t>Please be advised that Exempt Decree No. 341/2025 of the Ministry of Energy, which gives official status to Chilean Standard (NCh) No. 2264:2025 "Natural gas - Specifications", has been published in the Official Journal of the Republic of Chile.__________1 This information can be provided by including a website address, a PDF attachment, or other information on where the text of the final/modified measure and/or interpretative guidance can be obtained.</t>
  </si>
  <si>
    <t>Gas Natural</t>
  </si>
  <si>
    <r>
      <rPr>
        <sz val="11"/>
        <rFont val="Calibri"/>
      </rPr>
      <t>https://members.wto.org/crnattachments/2025/TBT/CHL/final_measure/25_09205_00_s.pdf</t>
    </r>
  </si>
  <si>
    <t>Proposed amendments to the “Enforcement Rules of the Cleansing and Hygiene Products Control Act” </t>
  </si>
  <si>
    <t>The Ministry of Food and Drug Safety (MFDS) is proposing to amend the “Enforcement Rules of the Cleansing and Hygiene Products Control Act” as follows:A. To include labels and advertisements that may be perceived as having efficacy or effects in the prevention or treatment of disease within the scope of false, exaggerated, or slanderous labelling and advertisingB. To add labels and advertisements that state a medical professional (such as a doctor, dentist, or pharmacist) or any other person has certified, guaranteed, or recommended the cleansing and hygiene product to the scope of false, exaggerated, or slanderous labelling and advertising</t>
  </si>
  <si>
    <t>Hygiene products</t>
  </si>
  <si>
    <r>
      <rPr>
        <sz val="11"/>
        <rFont val="Calibri"/>
      </rPr>
      <t>https://members.wto.org/crnattachments/2025/TBT/KOR/25_09209_00_x.pdf</t>
    </r>
  </si>
  <si>
    <t>MFDS NOTIFICATION No. 2025-513, 19 December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</si>
</sst>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
    <font>
      <sz val="11"/>
      <name val="Calibri"/>
    </font>
    <font>
      <b/>
      <sz val="11"/>
      <name val="Calibri"/>
    </font>
    <font>
      <u/>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applyNumberFormat="1" applyFont="1" applyProtection="1"/>
    <xf numFmtId="0" fontId="1" fillId="0" borderId="0" xfId="0" applyNumberFormat="1" applyFont="1" applyAlignment="1" applyProtection="1">
      <alignment horizontal="center" vertical="center"/>
    </xf>
    <xf numFmtId="0" fontId="0" fillId="0" borderId="0" xfId="0" applyNumberFormat="1" applyFont="1" applyAlignment="1" applyProtection="1">
      <alignment wrapText="1"/>
    </xf>
    <xf numFmtId="0" fontId="1" fillId="0" borderId="0" xfId="0" applyNumberFormat="1" applyFont="1" applyAlignment="1" applyProtection="1">
      <alignment horizontal="center" vertical="center" wrapText="1"/>
    </xf>
    <xf numFmtId="164" fontId="0" fillId="0" borderId="0" xfId="0" applyNumberFormat="1" applyFont="1" applyProtection="1"/>
    <xf numFmtId="164" fontId="1" fillId="0" borderId="0" xfId="0" applyNumberFormat="1" applyFont="1" applyAlignment="1" applyProtection="1">
      <alignment horizontal="center" vertical="center"/>
    </xf>
    <xf numFmtId="0" fontId="0" fillId="0" borderId="0" xfId="0" applyNumberFormat="1" applyFont="1" applyAlignment="1" applyProtection="1">
      <alignment vertical="top"/>
    </xf>
    <xf numFmtId="164" fontId="0" fillId="0" borderId="0" xfId="0" applyNumberFormat="1" applyFont="1" applyAlignment="1" applyProtection="1">
      <alignment vertical="top"/>
    </xf>
    <xf numFmtId="0" fontId="0" fillId="0" borderId="0" xfId="0" applyNumberFormat="1" applyFont="1" applyAlignment="1" applyProtection="1">
      <alignment vertical="top" wrapText="1"/>
    </xf>
    <xf numFmtId="0" fontId="2" fillId="0" borderId="0" xfId="0" applyNumberFormat="1" applyFont="1" applyAlignment="1" applyProtection="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58"/>
  <sheetViews>
    <sheetView tabSelected="1" topLeftCell="N1" workbookViewId="0"/>
  </sheetViews>
  <sheetFormatPr defaultRowHeight="15"/>
  <cols>
    <col min="1" max="1" width="30" customWidth="1"/>
    <col min="2" max="2" width="20" style="4" customWidth="1"/>
    <col min="3" max="3" width="50" customWidth="1"/>
    <col min="4" max="11" width="100" style="2" customWidth="1"/>
    <col min="12" max="12" width="100" customWidth="1"/>
    <col min="13" max="15" width="30" style="4" customWidth="1"/>
    <col min="16" max="27" width="100" customWidth="1"/>
    <col min="28" max="28" width="100" style="2" customWidth="1"/>
    <col min="29" max="33" width="100" customWidth="1"/>
    <col min="34" max="34" width="100" style="2" customWidth="1"/>
  </cols>
  <sheetData>
    <row r="1" spans="1:34" ht="30" customHeight="1">
      <c r="A1" s="1" t="s">
        <v>0</v>
      </c>
      <c r="B1" s="5" t="s">
        <v>1</v>
      </c>
      <c r="C1" s="1" t="s">
        <v>2</v>
      </c>
      <c r="D1" s="3" t="s">
        <v>3</v>
      </c>
      <c r="E1" s="3" t="s">
        <v>4</v>
      </c>
      <c r="F1" s="3" t="s">
        <v>5</v>
      </c>
      <c r="G1" s="3" t="s">
        <v>6</v>
      </c>
      <c r="H1" s="3" t="s">
        <v>7</v>
      </c>
      <c r="I1" s="3" t="s">
        <v>8</v>
      </c>
      <c r="J1" s="3" t="s">
        <v>9</v>
      </c>
      <c r="K1" s="3" t="s">
        <v>10</v>
      </c>
      <c r="L1" s="1" t="s">
        <v>11</v>
      </c>
      <c r="M1" s="5" t="s">
        <v>12</v>
      </c>
      <c r="N1" s="5" t="s">
        <v>13</v>
      </c>
      <c r="O1" s="5" t="s">
        <v>14</v>
      </c>
      <c r="P1" s="1" t="s">
        <v>15</v>
      </c>
      <c r="Q1" s="1" t="s">
        <v>16</v>
      </c>
      <c r="R1" s="1" t="s">
        <v>17</v>
      </c>
      <c r="S1" s="1" t="s">
        <v>18</v>
      </c>
      <c r="T1" s="1" t="s">
        <v>19</v>
      </c>
      <c r="U1" s="1" t="s">
        <v>20</v>
      </c>
      <c r="V1" s="1" t="s">
        <v>21</v>
      </c>
      <c r="W1" s="1" t="s">
        <v>22</v>
      </c>
      <c r="X1" s="1" t="s">
        <v>23</v>
      </c>
      <c r="Y1" s="1" t="s">
        <v>24</v>
      </c>
      <c r="Z1" s="1" t="s">
        <v>25</v>
      </c>
      <c r="AA1" s="1" t="s">
        <v>26</v>
      </c>
      <c r="AB1" s="3" t="s">
        <v>27</v>
      </c>
      <c r="AC1" s="1" t="s">
        <v>28</v>
      </c>
      <c r="AD1" s="1" t="s">
        <v>29</v>
      </c>
      <c r="AE1" s="1" t="s">
        <v>30</v>
      </c>
      <c r="AF1" s="1" t="s">
        <v>31</v>
      </c>
      <c r="AG1" s="1" t="s">
        <v>32</v>
      </c>
      <c r="AH1" s="3" t="s">
        <v>33</v>
      </c>
    </row>
    <row r="2" spans="1:34" ht="180">
      <c r="A2" s="6" t="s">
        <v>34</v>
      </c>
      <c r="B2" s="7">
        <v>46100</v>
      </c>
      <c r="C2" s="9" t="str">
        <f>HYPERLINK("https://eping.wto.org/en/Search?viewData= G/TBT/N/MMR/13/Add.1"," G/TBT/N/MMR/13/Add.1")</f>
        <v xml:space="preserve"> G/TBT/N/MMR/13/Add.1</v>
      </c>
      <c r="D2" s="8" t="s">
        <v>35</v>
      </c>
      <c r="E2" s="8" t="s">
        <v>36</v>
      </c>
      <c r="F2" s="8" t="s">
        <v>37</v>
      </c>
      <c r="G2" s="8" t="s">
        <v>38</v>
      </c>
      <c r="H2" s="8" t="s">
        <v>39</v>
      </c>
      <c r="I2" s="8" t="s">
        <v>40</v>
      </c>
      <c r="J2" s="8" t="s">
        <v>41</v>
      </c>
      <c r="K2" s="8" t="s">
        <v>42</v>
      </c>
      <c r="L2" s="6"/>
      <c r="M2" s="7" t="s">
        <v>43</v>
      </c>
      <c r="N2" s="7"/>
      <c r="O2" s="7"/>
      <c r="P2" s="6" t="s">
        <v>44</v>
      </c>
      <c r="Q2" s="8" t="s">
        <v>45</v>
      </c>
      <c r="R2" t="str">
        <f>HYPERLINK("https://docs.wto.org/imrd/directdoc.asp?DDFDocuments/t/G/TBTN26/MMR13A1.docx", "https://docs.wto.org/imrd/directdoc.asp?DDFDocuments/t/G/TBTN26/MMR13A1.docx")</f>
        <v>https://docs.wto.org/imrd/directdoc.asp?DDFDocuments/t/G/TBTN26/MMR13A1.docx</v>
      </c>
      <c r="S2" t="str">
        <f>HYPERLINK("https://docs.wto.org/imrd/directdoc.asp?DDFDocuments/u/G/TBTN26/MMR13A1.docx", "https://docs.wto.org/imrd/directdoc.asp?DDFDocuments/u/G/TBTN26/MMR13A1.docx")</f>
        <v>https://docs.wto.org/imrd/directdoc.asp?DDFDocuments/u/G/TBTN26/MMR13A1.docx</v>
      </c>
      <c r="T2" t="str">
        <f>HYPERLINK("https://docs.wto.org/imrd/directdoc.asp?DDFDocuments/v/G/TBTN26/MMR13A1.docx", "https://docs.wto.org/imrd/directdoc.asp?DDFDocuments/v/G/TBTN26/MMR13A1.docx")</f>
        <v>https://docs.wto.org/imrd/directdoc.asp?DDFDocuments/v/G/TBTN26/MMR13A1.docx</v>
      </c>
      <c r="U2" t="s">
        <v>46</v>
      </c>
      <c r="V2" t="s">
        <v>46</v>
      </c>
      <c r="W2" t="s">
        <v>46</v>
      </c>
      <c r="X2" t="s">
        <v>46</v>
      </c>
      <c r="Y2" t="s">
        <v>46</v>
      </c>
      <c r="Z2" t="s">
        <v>46</v>
      </c>
      <c r="AA2" t="s">
        <v>46</v>
      </c>
      <c r="AB2" s="2" t="s">
        <v>43</v>
      </c>
      <c r="AC2" t="s">
        <v>43</v>
      </c>
      <c r="AD2" t="s">
        <v>43</v>
      </c>
      <c r="AE2" t="s">
        <v>43</v>
      </c>
      <c r="AF2" t="s">
        <v>43</v>
      </c>
      <c r="AG2" t="s">
        <v>43</v>
      </c>
      <c r="AH2" s="2" t="s">
        <v>43</v>
      </c>
    </row>
    <row r="3" spans="1:34" ht="75">
      <c r="A3" s="6" t="s">
        <v>47</v>
      </c>
      <c r="B3" s="7">
        <v>46100</v>
      </c>
      <c r="C3" s="9" t="str">
        <f>HYPERLINK("https://eping.wto.org/en/Search?viewData= G/TBT/N/CAN/751/Add.1"," G/TBT/N/CAN/751/Add.1")</f>
        <v xml:space="preserve"> G/TBT/N/CAN/751/Add.1</v>
      </c>
      <c r="D3" s="8" t="s">
        <v>48</v>
      </c>
      <c r="E3" s="8" t="s">
        <v>49</v>
      </c>
      <c r="F3" s="8" t="s">
        <v>50</v>
      </c>
      <c r="G3" s="8" t="s">
        <v>43</v>
      </c>
      <c r="H3" s="8" t="s">
        <v>51</v>
      </c>
      <c r="I3" s="8" t="s">
        <v>52</v>
      </c>
      <c r="J3" s="8" t="s">
        <v>53</v>
      </c>
      <c r="K3" s="8" t="s">
        <v>43</v>
      </c>
      <c r="L3" s="6"/>
      <c r="M3" s="7" t="s">
        <v>43</v>
      </c>
      <c r="N3" s="7"/>
      <c r="O3" s="7"/>
      <c r="P3" s="6" t="s">
        <v>44</v>
      </c>
      <c r="Q3" s="6"/>
      <c r="R3" t="str">
        <f>HYPERLINK("https://docs.wto.org/imrd/directdoc.asp?DDFDocuments/t/G/TBTN25/CAN751A1.docx", "https://docs.wto.org/imrd/directdoc.asp?DDFDocuments/t/G/TBTN25/CAN751A1.docx")</f>
        <v>https://docs.wto.org/imrd/directdoc.asp?DDFDocuments/t/G/TBTN25/CAN751A1.docx</v>
      </c>
      <c r="S3" t="str">
        <f>HYPERLINK("https://docs.wto.org/imrd/directdoc.asp?DDFDocuments/u/G/TBTN25/CAN751A1.docx", "https://docs.wto.org/imrd/directdoc.asp?DDFDocuments/u/G/TBTN25/CAN751A1.docx")</f>
        <v>https://docs.wto.org/imrd/directdoc.asp?DDFDocuments/u/G/TBTN25/CAN751A1.docx</v>
      </c>
      <c r="T3" t="str">
        <f>HYPERLINK("https://docs.wto.org/imrd/directdoc.asp?DDFDocuments/v/G/TBTN25/CAN751A1.docx", "https://docs.wto.org/imrd/directdoc.asp?DDFDocuments/v/G/TBTN25/CAN751A1.docx")</f>
        <v>https://docs.wto.org/imrd/directdoc.asp?DDFDocuments/v/G/TBTN25/CAN751A1.docx</v>
      </c>
      <c r="U3" t="s">
        <v>46</v>
      </c>
      <c r="V3" t="s">
        <v>46</v>
      </c>
      <c r="W3" t="s">
        <v>46</v>
      </c>
      <c r="X3" t="s">
        <v>46</v>
      </c>
      <c r="Y3" t="s">
        <v>46</v>
      </c>
      <c r="Z3" t="s">
        <v>46</v>
      </c>
      <c r="AA3" t="s">
        <v>46</v>
      </c>
      <c r="AB3" s="2" t="s">
        <v>43</v>
      </c>
      <c r="AC3" t="s">
        <v>43</v>
      </c>
      <c r="AD3" t="s">
        <v>43</v>
      </c>
      <c r="AE3" t="s">
        <v>43</v>
      </c>
      <c r="AF3" t="s">
        <v>43</v>
      </c>
      <c r="AG3" t="s">
        <v>43</v>
      </c>
      <c r="AH3" s="2" t="s">
        <v>43</v>
      </c>
    </row>
    <row r="4" spans="1:34" ht="150">
      <c r="A4" s="6" t="s">
        <v>54</v>
      </c>
      <c r="B4" s="7">
        <v>46100</v>
      </c>
      <c r="C4" s="9" t="str">
        <f>HYPERLINK("https://eping.wto.org/en/Search?viewData= G/SPS/N/AUS/631"," G/SPS/N/AUS/631")</f>
        <v xml:space="preserve"> G/SPS/N/AUS/631</v>
      </c>
      <c r="D4" s="8" t="s">
        <v>55</v>
      </c>
      <c r="E4" s="8" t="s">
        <v>56</v>
      </c>
      <c r="F4" s="8" t="s">
        <v>57</v>
      </c>
      <c r="G4" s="8" t="s">
        <v>43</v>
      </c>
      <c r="H4" s="8" t="s">
        <v>43</v>
      </c>
      <c r="I4" s="8" t="s">
        <v>58</v>
      </c>
      <c r="J4" s="8" t="s">
        <v>43</v>
      </c>
      <c r="K4" s="8" t="s">
        <v>59</v>
      </c>
      <c r="L4" s="6" t="s">
        <v>43</v>
      </c>
      <c r="M4" s="7">
        <v>46160</v>
      </c>
      <c r="N4" s="7" t="s">
        <v>60</v>
      </c>
      <c r="O4" s="7" t="s">
        <v>61</v>
      </c>
      <c r="P4" s="6" t="s">
        <v>62</v>
      </c>
      <c r="Q4" s="8" t="s">
        <v>63</v>
      </c>
      <c r="R4" t="str">
        <f>HYPERLINK("https://docs.wto.org/imrd/directdoc.asp?DDFDocuments/t/G/SPS/NAUS631.docx", "https://docs.wto.org/imrd/directdoc.asp?DDFDocuments/t/G/SPS/NAUS631.docx")</f>
        <v>https://docs.wto.org/imrd/directdoc.asp?DDFDocuments/t/G/SPS/NAUS631.docx</v>
      </c>
      <c r="S4" t="str">
        <f>HYPERLINK("https://docs.wto.org/imrd/directdoc.asp?DDFDocuments/u/G/SPS/NAUS631.docx", "https://docs.wto.org/imrd/directdoc.asp?DDFDocuments/u/G/SPS/NAUS631.docx")</f>
        <v>https://docs.wto.org/imrd/directdoc.asp?DDFDocuments/u/G/SPS/NAUS631.docx</v>
      </c>
      <c r="T4" t="str">
        <f>HYPERLINK("https://docs.wto.org/imrd/directdoc.asp?DDFDocuments/v/G/SPS/NAUS631.docx", "https://docs.wto.org/imrd/directdoc.asp?DDFDocuments/v/G/SPS/NAUS631.docx")</f>
        <v>https://docs.wto.org/imrd/directdoc.asp?DDFDocuments/v/G/SPS/NAUS631.docx</v>
      </c>
      <c r="U4" t="s">
        <v>43</v>
      </c>
      <c r="V4" t="s">
        <v>43</v>
      </c>
      <c r="W4" t="s">
        <v>43</v>
      </c>
      <c r="X4" t="s">
        <v>43</v>
      </c>
      <c r="Y4" t="s">
        <v>43</v>
      </c>
      <c r="Z4" t="s">
        <v>43</v>
      </c>
      <c r="AA4" t="s">
        <v>43</v>
      </c>
      <c r="AB4" s="2" t="s">
        <v>43</v>
      </c>
      <c r="AC4" t="s">
        <v>64</v>
      </c>
      <c r="AD4" t="s">
        <v>46</v>
      </c>
      <c r="AE4" t="s">
        <v>46</v>
      </c>
      <c r="AF4" t="s">
        <v>46</v>
      </c>
      <c r="AG4" t="s">
        <v>46</v>
      </c>
      <c r="AH4" s="2" t="s">
        <v>65</v>
      </c>
    </row>
    <row r="5" spans="1:34" ht="225">
      <c r="A5" s="6" t="s">
        <v>66</v>
      </c>
      <c r="B5" s="7">
        <v>46100</v>
      </c>
      <c r="C5" s="9" t="str">
        <f>HYPERLINK("https://eping.wto.org/en/Search?viewData= G/SPS/N/MDA/33/Add.1"," G/SPS/N/MDA/33/Add.1")</f>
        <v xml:space="preserve"> G/SPS/N/MDA/33/Add.1</v>
      </c>
      <c r="D5" s="8" t="s">
        <v>67</v>
      </c>
      <c r="E5" s="8" t="s">
        <v>68</v>
      </c>
      <c r="F5" s="8" t="s">
        <v>69</v>
      </c>
      <c r="G5" s="8" t="s">
        <v>70</v>
      </c>
      <c r="H5" s="8" t="s">
        <v>43</v>
      </c>
      <c r="I5" s="8" t="s">
        <v>58</v>
      </c>
      <c r="J5" s="8" t="s">
        <v>43</v>
      </c>
      <c r="K5" s="8" t="s">
        <v>71</v>
      </c>
      <c r="L5" s="6"/>
      <c r="M5" s="7" t="s">
        <v>43</v>
      </c>
      <c r="N5" s="7"/>
      <c r="O5" s="7"/>
      <c r="P5" s="6" t="s">
        <v>72</v>
      </c>
      <c r="Q5" s="8" t="s">
        <v>73</v>
      </c>
      <c r="R5" t="str">
        <f>HYPERLINK("https://docs.wto.org/imrd/directdoc.asp?DDFDocuments/t/G/SPS/NMDA33A1.docx", "https://docs.wto.org/imrd/directdoc.asp?DDFDocuments/t/G/SPS/NMDA33A1.docx")</f>
        <v>https://docs.wto.org/imrd/directdoc.asp?DDFDocuments/t/G/SPS/NMDA33A1.docx</v>
      </c>
      <c r="T5" t="str">
        <f>HYPERLINK("https://docs.wto.org/imrd/directdoc.asp?DDFDocuments/v/G/SPS/NMDA33A1.docx", "https://docs.wto.org/imrd/directdoc.asp?DDFDocuments/v/G/SPS/NMDA33A1.docx")</f>
        <v>https://docs.wto.org/imrd/directdoc.asp?DDFDocuments/v/G/SPS/NMDA33A1.docx</v>
      </c>
      <c r="U5" t="s">
        <v>43</v>
      </c>
      <c r="V5" t="s">
        <v>43</v>
      </c>
      <c r="W5" t="s">
        <v>43</v>
      </c>
      <c r="X5" t="s">
        <v>43</v>
      </c>
      <c r="Y5" t="s">
        <v>43</v>
      </c>
      <c r="Z5" t="s">
        <v>43</v>
      </c>
      <c r="AA5" t="s">
        <v>43</v>
      </c>
      <c r="AB5" s="2" t="s">
        <v>43</v>
      </c>
      <c r="AC5" t="s">
        <v>43</v>
      </c>
      <c r="AD5" t="s">
        <v>43</v>
      </c>
      <c r="AE5" t="s">
        <v>43</v>
      </c>
      <c r="AF5" t="s">
        <v>43</v>
      </c>
      <c r="AG5" t="s">
        <v>43</v>
      </c>
      <c r="AH5" s="2" t="s">
        <v>43</v>
      </c>
    </row>
    <row r="6" spans="1:34" ht="75">
      <c r="A6" s="6" t="s">
        <v>74</v>
      </c>
      <c r="B6" s="7">
        <v>46100</v>
      </c>
      <c r="C6" s="9" t="str">
        <f>HYPERLINK("https://eping.wto.org/en/Search?viewData= G/TBT/N/IND/431"," G/TBT/N/IND/431")</f>
        <v xml:space="preserve"> G/TBT/N/IND/431</v>
      </c>
      <c r="D6" s="8" t="s">
        <v>75</v>
      </c>
      <c r="E6" s="8" t="s">
        <v>76</v>
      </c>
      <c r="F6" s="8" t="s">
        <v>77</v>
      </c>
      <c r="G6" s="8" t="s">
        <v>43</v>
      </c>
      <c r="H6" s="8" t="s">
        <v>43</v>
      </c>
      <c r="I6" s="8" t="s">
        <v>52</v>
      </c>
      <c r="J6" s="8" t="s">
        <v>78</v>
      </c>
      <c r="K6" s="8" t="s">
        <v>43</v>
      </c>
      <c r="L6" s="6"/>
      <c r="M6" s="7">
        <v>46160</v>
      </c>
      <c r="N6" s="7" t="s">
        <v>79</v>
      </c>
      <c r="O6" s="7" t="s">
        <v>79</v>
      </c>
      <c r="P6" s="6" t="s">
        <v>62</v>
      </c>
      <c r="Q6" s="8" t="s">
        <v>80</v>
      </c>
      <c r="R6" t="str">
        <f>HYPERLINK("https://docs.wto.org/imrd/directdoc.asp?DDFDocuments/t/G/TBTN26/IND431.docx", "https://docs.wto.org/imrd/directdoc.asp?DDFDocuments/t/G/TBTN26/IND431.docx")</f>
        <v>https://docs.wto.org/imrd/directdoc.asp?DDFDocuments/t/G/TBTN26/IND431.docx</v>
      </c>
      <c r="T6" t="str">
        <f>HYPERLINK("https://docs.wto.org/imrd/directdoc.asp?DDFDocuments/v/G/TBTN26/IND431.docx", "https://docs.wto.org/imrd/directdoc.asp?DDFDocuments/v/G/TBTN26/IND431.docx")</f>
        <v>https://docs.wto.org/imrd/directdoc.asp?DDFDocuments/v/G/TBTN26/IND431.docx</v>
      </c>
      <c r="U6" t="s">
        <v>64</v>
      </c>
      <c r="V6" t="s">
        <v>46</v>
      </c>
      <c r="W6" t="s">
        <v>46</v>
      </c>
      <c r="X6" t="s">
        <v>46</v>
      </c>
      <c r="Y6" t="s">
        <v>46</v>
      </c>
      <c r="Z6" t="s">
        <v>46</v>
      </c>
      <c r="AA6" t="s">
        <v>46</v>
      </c>
      <c r="AB6" s="2" t="s">
        <v>81</v>
      </c>
      <c r="AC6" t="s">
        <v>43</v>
      </c>
      <c r="AD6" t="s">
        <v>43</v>
      </c>
      <c r="AE6" t="s">
        <v>43</v>
      </c>
      <c r="AF6" t="s">
        <v>43</v>
      </c>
      <c r="AG6" t="s">
        <v>43</v>
      </c>
      <c r="AH6" s="2" t="s">
        <v>43</v>
      </c>
    </row>
    <row r="7" spans="1:34" ht="105">
      <c r="A7" s="6" t="s">
        <v>82</v>
      </c>
      <c r="B7" s="7">
        <v>46100</v>
      </c>
      <c r="C7" s="9" t="str">
        <f>HYPERLINK("https://eping.wto.org/en/Search?viewData= G/TBT/N/JPN/886/Add.1"," G/TBT/N/JPN/886/Add.1")</f>
        <v xml:space="preserve"> G/TBT/N/JPN/886/Add.1</v>
      </c>
      <c r="D7" s="8" t="s">
        <v>83</v>
      </c>
      <c r="E7" s="8" t="s">
        <v>84</v>
      </c>
      <c r="F7" s="8" t="s">
        <v>85</v>
      </c>
      <c r="G7" s="8" t="s">
        <v>43</v>
      </c>
      <c r="H7" s="8" t="s">
        <v>86</v>
      </c>
      <c r="I7" s="8" t="s">
        <v>52</v>
      </c>
      <c r="J7" s="8" t="s">
        <v>87</v>
      </c>
      <c r="K7" s="8" t="s">
        <v>43</v>
      </c>
      <c r="L7" s="6"/>
      <c r="M7" s="7" t="s">
        <v>43</v>
      </c>
      <c r="N7" s="7"/>
      <c r="O7" s="7"/>
      <c r="P7" s="6" t="s">
        <v>44</v>
      </c>
      <c r="Q7" s="8" t="s">
        <v>88</v>
      </c>
      <c r="R7" t="str">
        <f>HYPERLINK("https://docs.wto.org/imrd/directdoc.asp?DDFDocuments/t/G/TBTN25/JPN886A1.docx", "https://docs.wto.org/imrd/directdoc.asp?DDFDocuments/t/G/TBTN25/JPN886A1.docx")</f>
        <v>https://docs.wto.org/imrd/directdoc.asp?DDFDocuments/t/G/TBTN25/JPN886A1.docx</v>
      </c>
      <c r="S7" t="str">
        <f>HYPERLINK("https://docs.wto.org/imrd/directdoc.asp?DDFDocuments/u/G/TBTN25/JPN886A1.docx", "https://docs.wto.org/imrd/directdoc.asp?DDFDocuments/u/G/TBTN25/JPN886A1.docx")</f>
        <v>https://docs.wto.org/imrd/directdoc.asp?DDFDocuments/u/G/TBTN25/JPN886A1.docx</v>
      </c>
      <c r="T7" t="str">
        <f>HYPERLINK("https://docs.wto.org/imrd/directdoc.asp?DDFDocuments/v/G/TBTN25/JPN886A1.docx", "https://docs.wto.org/imrd/directdoc.asp?DDFDocuments/v/G/TBTN25/JPN886A1.docx")</f>
        <v>https://docs.wto.org/imrd/directdoc.asp?DDFDocuments/v/G/TBTN25/JPN886A1.docx</v>
      </c>
      <c r="U7" t="s">
        <v>46</v>
      </c>
      <c r="V7" t="s">
        <v>46</v>
      </c>
      <c r="W7" t="s">
        <v>46</v>
      </c>
      <c r="X7" t="s">
        <v>46</v>
      </c>
      <c r="Y7" t="s">
        <v>46</v>
      </c>
      <c r="Z7" t="s">
        <v>46</v>
      </c>
      <c r="AA7" t="s">
        <v>46</v>
      </c>
      <c r="AB7" s="2" t="s">
        <v>43</v>
      </c>
      <c r="AC7" t="s">
        <v>43</v>
      </c>
      <c r="AD7" t="s">
        <v>43</v>
      </c>
      <c r="AE7" t="s">
        <v>43</v>
      </c>
      <c r="AF7" t="s">
        <v>43</v>
      </c>
      <c r="AG7" t="s">
        <v>43</v>
      </c>
      <c r="AH7" s="2" t="s">
        <v>43</v>
      </c>
    </row>
    <row r="8" spans="1:34" ht="45">
      <c r="A8" s="6" t="s">
        <v>89</v>
      </c>
      <c r="B8" s="7">
        <v>46100</v>
      </c>
      <c r="C8" s="9" t="str">
        <f>HYPERLINK("https://eping.wto.org/en/Search?viewData= G/SPS/N/CRI/354"," G/SPS/N/CRI/354")</f>
        <v xml:space="preserve"> G/SPS/N/CRI/354</v>
      </c>
      <c r="D8" s="8" t="s">
        <v>90</v>
      </c>
      <c r="E8" s="8" t="s">
        <v>91</v>
      </c>
      <c r="F8" s="8" t="s">
        <v>92</v>
      </c>
      <c r="G8" s="8" t="s">
        <v>93</v>
      </c>
      <c r="H8" s="8" t="s">
        <v>43</v>
      </c>
      <c r="I8" s="8" t="s">
        <v>94</v>
      </c>
      <c r="J8" s="8" t="s">
        <v>43</v>
      </c>
      <c r="K8" s="8" t="s">
        <v>95</v>
      </c>
      <c r="L8" s="6" t="s">
        <v>96</v>
      </c>
      <c r="M8" s="7">
        <v>46160</v>
      </c>
      <c r="N8" s="7" t="s">
        <v>79</v>
      </c>
      <c r="O8" s="7" t="s">
        <v>97</v>
      </c>
      <c r="P8" s="6" t="s">
        <v>62</v>
      </c>
      <c r="Q8" s="8" t="s">
        <v>98</v>
      </c>
      <c r="R8" t="str">
        <f>HYPERLINK("https://docs.wto.org/imrd/directdoc.asp?DDFDocuments/t/G/SPS/NCRI354.docx", "https://docs.wto.org/imrd/directdoc.asp?DDFDocuments/t/G/SPS/NCRI354.docx")</f>
        <v>https://docs.wto.org/imrd/directdoc.asp?DDFDocuments/t/G/SPS/NCRI354.docx</v>
      </c>
      <c r="S8" t="str">
        <f>HYPERLINK("https://docs.wto.org/imrd/directdoc.asp?DDFDocuments/u/G/SPS/NCRI354.docx", "https://docs.wto.org/imrd/directdoc.asp?DDFDocuments/u/G/SPS/NCRI354.docx")</f>
        <v>https://docs.wto.org/imrd/directdoc.asp?DDFDocuments/u/G/SPS/NCRI354.docx</v>
      </c>
      <c r="T8" t="str">
        <f>HYPERLINK("https://docs.wto.org/imrd/directdoc.asp?DDFDocuments/v/G/SPS/NCRI354.docx", "https://docs.wto.org/imrd/directdoc.asp?DDFDocuments/v/G/SPS/NCRI354.docx")</f>
        <v>https://docs.wto.org/imrd/directdoc.asp?DDFDocuments/v/G/SPS/NCRI354.docx</v>
      </c>
      <c r="U8" t="s">
        <v>43</v>
      </c>
      <c r="V8" t="s">
        <v>43</v>
      </c>
      <c r="W8" t="s">
        <v>43</v>
      </c>
      <c r="X8" t="s">
        <v>43</v>
      </c>
      <c r="Y8" t="s">
        <v>43</v>
      </c>
      <c r="Z8" t="s">
        <v>43</v>
      </c>
      <c r="AA8" t="s">
        <v>43</v>
      </c>
      <c r="AB8" s="2" t="s">
        <v>43</v>
      </c>
      <c r="AC8" t="s">
        <v>46</v>
      </c>
      <c r="AD8" t="s">
        <v>46</v>
      </c>
      <c r="AE8" t="s">
        <v>46</v>
      </c>
      <c r="AF8" t="s">
        <v>64</v>
      </c>
      <c r="AG8" t="s">
        <v>99</v>
      </c>
      <c r="AH8" s="2" t="s">
        <v>43</v>
      </c>
    </row>
    <row r="9" spans="1:34" ht="135">
      <c r="A9" s="6" t="s">
        <v>100</v>
      </c>
      <c r="B9" s="7">
        <v>46100</v>
      </c>
      <c r="C9" s="9" t="str">
        <f>HYPERLINK("https://eping.wto.org/en/Search?viewData= G/SPS/N/THA/807"," G/SPS/N/THA/807")</f>
        <v xml:space="preserve"> G/SPS/N/THA/807</v>
      </c>
      <c r="D9" s="8" t="s">
        <v>101</v>
      </c>
      <c r="E9" s="8" t="s">
        <v>102</v>
      </c>
      <c r="F9" s="8" t="s">
        <v>103</v>
      </c>
      <c r="G9" s="8" t="s">
        <v>43</v>
      </c>
      <c r="H9" s="8" t="s">
        <v>43</v>
      </c>
      <c r="I9" s="8" t="s">
        <v>104</v>
      </c>
      <c r="J9" s="8" t="s">
        <v>43</v>
      </c>
      <c r="K9" s="8" t="s">
        <v>105</v>
      </c>
      <c r="L9" s="6" t="s">
        <v>106</v>
      </c>
      <c r="M9" s="7" t="s">
        <v>43</v>
      </c>
      <c r="N9" s="7"/>
      <c r="O9" s="7">
        <v>46095</v>
      </c>
      <c r="P9" s="6" t="s">
        <v>107</v>
      </c>
      <c r="Q9" s="6"/>
      <c r="R9" t="str">
        <f>HYPERLINK("https://docs.wto.org/imrd/directdoc.asp?DDFDocuments/t/G/SPS/NTHA807.docx", "https://docs.wto.org/imrd/directdoc.asp?DDFDocuments/t/G/SPS/NTHA807.docx")</f>
        <v>https://docs.wto.org/imrd/directdoc.asp?DDFDocuments/t/G/SPS/NTHA807.docx</v>
      </c>
      <c r="S9" t="str">
        <f>HYPERLINK("https://docs.wto.org/imrd/directdoc.asp?DDFDocuments/u/G/SPS/NTHA807.docx", "https://docs.wto.org/imrd/directdoc.asp?DDFDocuments/u/G/SPS/NTHA807.docx")</f>
        <v>https://docs.wto.org/imrd/directdoc.asp?DDFDocuments/u/G/SPS/NTHA807.docx</v>
      </c>
      <c r="T9" t="str">
        <f>HYPERLINK("https://docs.wto.org/imrd/directdoc.asp?DDFDocuments/v/G/SPS/NTHA807.docx", "https://docs.wto.org/imrd/directdoc.asp?DDFDocuments/v/G/SPS/NTHA807.docx")</f>
        <v>https://docs.wto.org/imrd/directdoc.asp?DDFDocuments/v/G/SPS/NTHA807.docx</v>
      </c>
      <c r="U9" t="s">
        <v>43</v>
      </c>
      <c r="V9" t="s">
        <v>43</v>
      </c>
      <c r="W9" t="s">
        <v>43</v>
      </c>
      <c r="X9" t="s">
        <v>43</v>
      </c>
      <c r="Y9" t="s">
        <v>43</v>
      </c>
      <c r="Z9" t="s">
        <v>43</v>
      </c>
      <c r="AA9" t="s">
        <v>43</v>
      </c>
      <c r="AB9" s="2" t="s">
        <v>43</v>
      </c>
      <c r="AC9" t="s">
        <v>46</v>
      </c>
      <c r="AD9" t="s">
        <v>64</v>
      </c>
      <c r="AE9" t="s">
        <v>46</v>
      </c>
      <c r="AF9" t="s">
        <v>46</v>
      </c>
      <c r="AG9" t="s">
        <v>64</v>
      </c>
      <c r="AH9" s="2" t="s">
        <v>43</v>
      </c>
    </row>
    <row r="10" spans="1:34" ht="180">
      <c r="A10" s="6" t="s">
        <v>108</v>
      </c>
      <c r="B10" s="7">
        <v>46099</v>
      </c>
      <c r="C10" s="9" t="str">
        <f>HYPERLINK("https://eping.wto.org/en/Search?viewData= G/TBT/N/RWA/1370"," G/TBT/N/RWA/1370")</f>
        <v xml:space="preserve"> G/TBT/N/RWA/1370</v>
      </c>
      <c r="D10" s="8" t="s">
        <v>109</v>
      </c>
      <c r="E10" s="8" t="s">
        <v>110</v>
      </c>
      <c r="F10" s="8" t="s">
        <v>111</v>
      </c>
      <c r="G10" s="8" t="s">
        <v>43</v>
      </c>
      <c r="H10" s="8" t="s">
        <v>112</v>
      </c>
      <c r="I10" s="8" t="s">
        <v>113</v>
      </c>
      <c r="J10" s="8" t="s">
        <v>43</v>
      </c>
      <c r="K10" s="8" t="s">
        <v>43</v>
      </c>
      <c r="L10" s="6"/>
      <c r="M10" s="7">
        <v>46159</v>
      </c>
      <c r="N10" s="7" t="s">
        <v>79</v>
      </c>
      <c r="O10" s="7" t="s">
        <v>114</v>
      </c>
      <c r="P10" s="6" t="s">
        <v>62</v>
      </c>
      <c r="Q10" s="8" t="s">
        <v>115</v>
      </c>
      <c r="R10" t="str">
        <f>HYPERLINK("https://docs.wto.org/imrd/directdoc.asp?DDFDocuments/t/G/TBTN26/RWA1370.docx", "https://docs.wto.org/imrd/directdoc.asp?DDFDocuments/t/G/TBTN26/RWA1370.docx")</f>
        <v>https://docs.wto.org/imrd/directdoc.asp?DDFDocuments/t/G/TBTN26/RWA1370.docx</v>
      </c>
      <c r="S10" t="str">
        <f>HYPERLINK("https://docs.wto.org/imrd/directdoc.asp?DDFDocuments/u/G/TBTN26/RWA1370.docx", "https://docs.wto.org/imrd/directdoc.asp?DDFDocuments/u/G/TBTN26/RWA1370.docx")</f>
        <v>https://docs.wto.org/imrd/directdoc.asp?DDFDocuments/u/G/TBTN26/RWA1370.docx</v>
      </c>
      <c r="T10" t="str">
        <f>HYPERLINK("https://docs.wto.org/imrd/directdoc.asp?DDFDocuments/v/G/TBTN26/RWA1370.docx", "https://docs.wto.org/imrd/directdoc.asp?DDFDocuments/v/G/TBTN26/RWA1370.docx")</f>
        <v>https://docs.wto.org/imrd/directdoc.asp?DDFDocuments/v/G/TBTN26/RWA1370.docx</v>
      </c>
      <c r="U10" t="s">
        <v>64</v>
      </c>
      <c r="V10" t="s">
        <v>46</v>
      </c>
      <c r="W10" t="s">
        <v>46</v>
      </c>
      <c r="X10" t="s">
        <v>46</v>
      </c>
      <c r="Y10" t="s">
        <v>46</v>
      </c>
      <c r="Z10" t="s">
        <v>46</v>
      </c>
      <c r="AA10" t="s">
        <v>46</v>
      </c>
      <c r="AB10" s="2" t="s">
        <v>116</v>
      </c>
      <c r="AC10" t="s">
        <v>43</v>
      </c>
      <c r="AD10" t="s">
        <v>43</v>
      </c>
      <c r="AE10" t="s">
        <v>43</v>
      </c>
      <c r="AF10" t="s">
        <v>43</v>
      </c>
      <c r="AG10" t="s">
        <v>43</v>
      </c>
      <c r="AH10" s="2" t="s">
        <v>43</v>
      </c>
    </row>
    <row r="11" spans="1:34" ht="75">
      <c r="A11" s="6" t="s">
        <v>89</v>
      </c>
      <c r="B11" s="7">
        <v>46099</v>
      </c>
      <c r="C11" s="9" t="str">
        <f>HYPERLINK("https://eping.wto.org/en/Search?viewData= G/SPS/N/CRI/352"," G/SPS/N/CRI/352")</f>
        <v xml:space="preserve"> G/SPS/N/CRI/352</v>
      </c>
      <c r="D11" s="8" t="s">
        <v>117</v>
      </c>
      <c r="E11" s="8" t="s">
        <v>118</v>
      </c>
      <c r="F11" s="8" t="s">
        <v>119</v>
      </c>
      <c r="G11" s="8" t="s">
        <v>120</v>
      </c>
      <c r="H11" s="8" t="s">
        <v>43</v>
      </c>
      <c r="I11" s="8" t="s">
        <v>94</v>
      </c>
      <c r="J11" s="8" t="s">
        <v>43</v>
      </c>
      <c r="K11" s="8" t="s">
        <v>121</v>
      </c>
      <c r="L11" s="6" t="s">
        <v>122</v>
      </c>
      <c r="M11" s="7">
        <v>46159</v>
      </c>
      <c r="N11" s="7" t="s">
        <v>79</v>
      </c>
      <c r="O11" s="7" t="s">
        <v>97</v>
      </c>
      <c r="P11" s="6" t="s">
        <v>62</v>
      </c>
      <c r="Q11" s="8" t="s">
        <v>123</v>
      </c>
      <c r="R11" t="str">
        <f>HYPERLINK("https://docs.wto.org/imrd/directdoc.asp?DDFDocuments/t/G/SPS/NCRI352.docx", "https://docs.wto.org/imrd/directdoc.asp?DDFDocuments/t/G/SPS/NCRI352.docx")</f>
        <v>https://docs.wto.org/imrd/directdoc.asp?DDFDocuments/t/G/SPS/NCRI352.docx</v>
      </c>
      <c r="S11" t="str">
        <f>HYPERLINK("https://docs.wto.org/imrd/directdoc.asp?DDFDocuments/u/G/SPS/NCRI352.docx", "https://docs.wto.org/imrd/directdoc.asp?DDFDocuments/u/G/SPS/NCRI352.docx")</f>
        <v>https://docs.wto.org/imrd/directdoc.asp?DDFDocuments/u/G/SPS/NCRI352.docx</v>
      </c>
      <c r="T11" t="str">
        <f>HYPERLINK("https://docs.wto.org/imrd/directdoc.asp?DDFDocuments/v/G/SPS/NCRI352.docx", "https://docs.wto.org/imrd/directdoc.asp?DDFDocuments/v/G/SPS/NCRI352.docx")</f>
        <v>https://docs.wto.org/imrd/directdoc.asp?DDFDocuments/v/G/SPS/NCRI352.docx</v>
      </c>
      <c r="U11" t="s">
        <v>43</v>
      </c>
      <c r="V11" t="s">
        <v>43</v>
      </c>
      <c r="W11" t="s">
        <v>43</v>
      </c>
      <c r="X11" t="s">
        <v>43</v>
      </c>
      <c r="Y11" t="s">
        <v>43</v>
      </c>
      <c r="Z11" t="s">
        <v>43</v>
      </c>
      <c r="AA11" t="s">
        <v>43</v>
      </c>
      <c r="AB11" s="2" t="s">
        <v>43</v>
      </c>
      <c r="AC11" t="s">
        <v>46</v>
      </c>
      <c r="AD11" t="s">
        <v>46</v>
      </c>
      <c r="AE11" t="s">
        <v>46</v>
      </c>
      <c r="AF11" t="s">
        <v>64</v>
      </c>
      <c r="AG11" t="s">
        <v>99</v>
      </c>
      <c r="AH11" s="2" t="s">
        <v>43</v>
      </c>
    </row>
    <row r="12" spans="1:34" ht="409.5">
      <c r="A12" s="6" t="s">
        <v>124</v>
      </c>
      <c r="B12" s="7">
        <v>46099</v>
      </c>
      <c r="C12" s="9" t="str">
        <f>HYPERLINK("https://eping.wto.org/en/Search?viewData= G/TBT/N/KEN/2014"," G/TBT/N/KEN/2014")</f>
        <v xml:space="preserve"> G/TBT/N/KEN/2014</v>
      </c>
      <c r="D12" s="8" t="s">
        <v>125</v>
      </c>
      <c r="E12" s="8" t="s">
        <v>126</v>
      </c>
      <c r="F12" s="8" t="s">
        <v>127</v>
      </c>
      <c r="G12" s="8" t="s">
        <v>43</v>
      </c>
      <c r="H12" s="8" t="s">
        <v>128</v>
      </c>
      <c r="I12" s="8" t="s">
        <v>129</v>
      </c>
      <c r="J12" s="8" t="s">
        <v>43</v>
      </c>
      <c r="K12" s="8" t="s">
        <v>43</v>
      </c>
      <c r="L12" s="6"/>
      <c r="M12" s="7">
        <v>46159</v>
      </c>
      <c r="N12" s="7" t="s">
        <v>79</v>
      </c>
      <c r="O12" s="7" t="s">
        <v>79</v>
      </c>
      <c r="P12" s="6" t="s">
        <v>62</v>
      </c>
      <c r="Q12" s="8" t="s">
        <v>130</v>
      </c>
      <c r="R12" t="str">
        <f>HYPERLINK("https://docs.wto.org/imrd/directdoc.asp?DDFDocuments/t/G/TBTN26/KEN2014.docx", "https://docs.wto.org/imrd/directdoc.asp?DDFDocuments/t/G/TBTN26/KEN2014.docx")</f>
        <v>https://docs.wto.org/imrd/directdoc.asp?DDFDocuments/t/G/TBTN26/KEN2014.docx</v>
      </c>
      <c r="S12" t="str">
        <f>HYPERLINK("https://docs.wto.org/imrd/directdoc.asp?DDFDocuments/u/G/TBTN26/KEN2014.docx", "https://docs.wto.org/imrd/directdoc.asp?DDFDocuments/u/G/TBTN26/KEN2014.docx")</f>
        <v>https://docs.wto.org/imrd/directdoc.asp?DDFDocuments/u/G/TBTN26/KEN2014.docx</v>
      </c>
      <c r="T12" t="str">
        <f>HYPERLINK("https://docs.wto.org/imrd/directdoc.asp?DDFDocuments/v/G/TBTN26/KEN2014.docx", "https://docs.wto.org/imrd/directdoc.asp?DDFDocuments/v/G/TBTN26/KEN2014.docx")</f>
        <v>https://docs.wto.org/imrd/directdoc.asp?DDFDocuments/v/G/TBTN26/KEN2014.docx</v>
      </c>
      <c r="U12" t="s">
        <v>64</v>
      </c>
      <c r="V12" t="s">
        <v>46</v>
      </c>
      <c r="W12" t="s">
        <v>46</v>
      </c>
      <c r="X12" t="s">
        <v>46</v>
      </c>
      <c r="Y12" t="s">
        <v>46</v>
      </c>
      <c r="Z12" t="s">
        <v>46</v>
      </c>
      <c r="AA12" t="s">
        <v>46</v>
      </c>
      <c r="AB12" s="2" t="s">
        <v>131</v>
      </c>
      <c r="AC12" t="s">
        <v>43</v>
      </c>
      <c r="AD12" t="s">
        <v>43</v>
      </c>
      <c r="AE12" t="s">
        <v>43</v>
      </c>
      <c r="AF12" t="s">
        <v>43</v>
      </c>
      <c r="AG12" t="s">
        <v>43</v>
      </c>
      <c r="AH12" s="2" t="s">
        <v>43</v>
      </c>
    </row>
    <row r="13" spans="1:34" ht="240">
      <c r="A13" s="6" t="s">
        <v>132</v>
      </c>
      <c r="B13" s="7">
        <v>46099</v>
      </c>
      <c r="C13" s="9" t="str">
        <f>HYPERLINK("https://eping.wto.org/en/Search?viewData= G/TBT/N/USA/1554/Rev.1"," G/TBT/N/USA/1554/Rev.1")</f>
        <v xml:space="preserve"> G/TBT/N/USA/1554/Rev.1</v>
      </c>
      <c r="D13" s="8" t="s">
        <v>133</v>
      </c>
      <c r="E13" s="8" t="s">
        <v>134</v>
      </c>
      <c r="F13" s="8" t="s">
        <v>135</v>
      </c>
      <c r="G13" s="8" t="s">
        <v>43</v>
      </c>
      <c r="H13" s="8" t="s">
        <v>136</v>
      </c>
      <c r="I13" s="8" t="s">
        <v>137</v>
      </c>
      <c r="J13" s="8" t="s">
        <v>43</v>
      </c>
      <c r="K13" s="8" t="s">
        <v>43</v>
      </c>
      <c r="L13" s="6"/>
      <c r="M13" s="7">
        <v>46143</v>
      </c>
      <c r="N13" s="7" t="s">
        <v>79</v>
      </c>
      <c r="O13" s="7" t="s">
        <v>79</v>
      </c>
      <c r="P13" s="6" t="s">
        <v>138</v>
      </c>
      <c r="Q13" s="8" t="s">
        <v>139</v>
      </c>
      <c r="R13" t="str">
        <f>HYPERLINK("https://docs.wto.org/imrd/directdoc.asp?DDFDocuments/t/G/TBTN19/USA1554R1.docx", "https://docs.wto.org/imrd/directdoc.asp?DDFDocuments/t/G/TBTN19/USA1554R1.docx")</f>
        <v>https://docs.wto.org/imrd/directdoc.asp?DDFDocuments/t/G/TBTN19/USA1554R1.docx</v>
      </c>
      <c r="S13" t="str">
        <f>HYPERLINK("https://docs.wto.org/imrd/directdoc.asp?DDFDocuments/u/G/TBTN19/USA1554R1.docx", "https://docs.wto.org/imrd/directdoc.asp?DDFDocuments/u/G/TBTN19/USA1554R1.docx")</f>
        <v>https://docs.wto.org/imrd/directdoc.asp?DDFDocuments/u/G/TBTN19/USA1554R1.docx</v>
      </c>
      <c r="T13" t="str">
        <f>HYPERLINK("https://docs.wto.org/imrd/directdoc.asp?DDFDocuments/v/G/TBTN19/USA1554R1.docx", "https://docs.wto.org/imrd/directdoc.asp?DDFDocuments/v/G/TBTN19/USA1554R1.docx")</f>
        <v>https://docs.wto.org/imrd/directdoc.asp?DDFDocuments/v/G/TBTN19/USA1554R1.docx</v>
      </c>
      <c r="U13" t="s">
        <v>64</v>
      </c>
      <c r="V13" t="s">
        <v>46</v>
      </c>
      <c r="W13" t="s">
        <v>46</v>
      </c>
      <c r="X13" t="s">
        <v>46</v>
      </c>
      <c r="Y13" t="s">
        <v>46</v>
      </c>
      <c r="Z13" t="s">
        <v>46</v>
      </c>
      <c r="AA13" t="s">
        <v>46</v>
      </c>
      <c r="AB13" s="2" t="s">
        <v>140</v>
      </c>
      <c r="AC13" t="s">
        <v>43</v>
      </c>
      <c r="AD13" t="s">
        <v>43</v>
      </c>
      <c r="AE13" t="s">
        <v>43</v>
      </c>
      <c r="AF13" t="s">
        <v>43</v>
      </c>
      <c r="AG13" t="s">
        <v>43</v>
      </c>
      <c r="AH13" s="2" t="s">
        <v>43</v>
      </c>
    </row>
    <row r="14" spans="1:34">
      <c r="A14" s="6" t="s">
        <v>124</v>
      </c>
      <c r="B14" s="7">
        <v>46099</v>
      </c>
      <c r="C14" s="9" t="str">
        <f>HYPERLINK("https://eping.wto.org/en/Search?viewData= G/TBT/N/KEN/2008"," G/TBT/N/KEN/2008")</f>
        <v xml:space="preserve"> G/TBT/N/KEN/2008</v>
      </c>
      <c r="D14" s="8" t="s">
        <v>141</v>
      </c>
      <c r="E14" s="8" t="s">
        <v>142</v>
      </c>
      <c r="F14" s="8" t="s">
        <v>127</v>
      </c>
      <c r="G14" s="8" t="s">
        <v>43</v>
      </c>
      <c r="H14" s="8" t="s">
        <v>128</v>
      </c>
      <c r="I14" s="8" t="s">
        <v>143</v>
      </c>
      <c r="J14" s="8" t="s">
        <v>43</v>
      </c>
      <c r="K14" s="8" t="s">
        <v>43</v>
      </c>
      <c r="L14" s="6"/>
      <c r="M14" s="7">
        <v>46159</v>
      </c>
      <c r="N14" s="7" t="s">
        <v>79</v>
      </c>
      <c r="O14" s="7" t="s">
        <v>79</v>
      </c>
      <c r="P14" s="6" t="s">
        <v>62</v>
      </c>
      <c r="Q14" s="8" t="s">
        <v>144</v>
      </c>
      <c r="R14" t="str">
        <f>HYPERLINK("https://docs.wto.org/imrd/directdoc.asp?DDFDocuments/t/G/TBTN26/KEN2008.docx", "https://docs.wto.org/imrd/directdoc.asp?DDFDocuments/t/G/TBTN26/KEN2008.docx")</f>
        <v>https://docs.wto.org/imrd/directdoc.asp?DDFDocuments/t/G/TBTN26/KEN2008.docx</v>
      </c>
      <c r="S14" t="str">
        <f>HYPERLINK("https://docs.wto.org/imrd/directdoc.asp?DDFDocuments/u/G/TBTN26/KEN2008.docx", "https://docs.wto.org/imrd/directdoc.asp?DDFDocuments/u/G/TBTN26/KEN2008.docx")</f>
        <v>https://docs.wto.org/imrd/directdoc.asp?DDFDocuments/u/G/TBTN26/KEN2008.docx</v>
      </c>
      <c r="T14" t="str">
        <f>HYPERLINK("https://docs.wto.org/imrd/directdoc.asp?DDFDocuments/v/G/TBTN26/KEN2008.docx", "https://docs.wto.org/imrd/directdoc.asp?DDFDocuments/v/G/TBTN26/KEN2008.docx")</f>
        <v>https://docs.wto.org/imrd/directdoc.asp?DDFDocuments/v/G/TBTN26/KEN2008.docx</v>
      </c>
      <c r="U14" t="s">
        <v>64</v>
      </c>
      <c r="V14" t="s">
        <v>46</v>
      </c>
      <c r="W14" t="s">
        <v>46</v>
      </c>
      <c r="X14" t="s">
        <v>46</v>
      </c>
      <c r="Y14" t="s">
        <v>46</v>
      </c>
      <c r="Z14" t="s">
        <v>46</v>
      </c>
      <c r="AA14" t="s">
        <v>46</v>
      </c>
      <c r="AB14" s="2" t="s">
        <v>145</v>
      </c>
      <c r="AC14" t="s">
        <v>43</v>
      </c>
      <c r="AD14" t="s">
        <v>43</v>
      </c>
      <c r="AE14" t="s">
        <v>43</v>
      </c>
      <c r="AF14" t="s">
        <v>43</v>
      </c>
      <c r="AG14" t="s">
        <v>43</v>
      </c>
      <c r="AH14" s="2" t="s">
        <v>43</v>
      </c>
    </row>
    <row r="15" spans="1:34" ht="120">
      <c r="A15" s="6" t="s">
        <v>146</v>
      </c>
      <c r="B15" s="7">
        <v>46099</v>
      </c>
      <c r="C15" s="9" t="str">
        <f>HYPERLINK("https://eping.wto.org/en/Search?viewData= G/SPS/N/CHL/878"," G/SPS/N/CHL/878")</f>
        <v xml:space="preserve"> G/SPS/N/CHL/878</v>
      </c>
      <c r="D15" s="8" t="s">
        <v>147</v>
      </c>
      <c r="E15" s="8" t="s">
        <v>148</v>
      </c>
      <c r="F15" s="8" t="s">
        <v>149</v>
      </c>
      <c r="G15" s="8" t="s">
        <v>43</v>
      </c>
      <c r="H15" s="8" t="s">
        <v>43</v>
      </c>
      <c r="I15" s="8" t="s">
        <v>150</v>
      </c>
      <c r="J15" s="8" t="s">
        <v>43</v>
      </c>
      <c r="K15" s="8" t="s">
        <v>151</v>
      </c>
      <c r="L15" s="6" t="s">
        <v>43</v>
      </c>
      <c r="M15" s="7" t="s">
        <v>43</v>
      </c>
      <c r="N15" s="7"/>
      <c r="O15" s="7">
        <v>46097</v>
      </c>
      <c r="P15" s="6" t="s">
        <v>107</v>
      </c>
      <c r="Q15" s="8" t="s">
        <v>152</v>
      </c>
      <c r="R15" t="str">
        <f>HYPERLINK("https://docs.wto.org/imrd/directdoc.asp?DDFDocuments/t/G/SPS/NCHL878.docx", "https://docs.wto.org/imrd/directdoc.asp?DDFDocuments/t/G/SPS/NCHL878.docx")</f>
        <v>https://docs.wto.org/imrd/directdoc.asp?DDFDocuments/t/G/SPS/NCHL878.docx</v>
      </c>
      <c r="S15" t="str">
        <f>HYPERLINK("https://docs.wto.org/imrd/directdoc.asp?DDFDocuments/u/G/SPS/NCHL878.docx", "https://docs.wto.org/imrd/directdoc.asp?DDFDocuments/u/G/SPS/NCHL878.docx")</f>
        <v>https://docs.wto.org/imrd/directdoc.asp?DDFDocuments/u/G/SPS/NCHL878.docx</v>
      </c>
      <c r="T15" t="str">
        <f>HYPERLINK("https://docs.wto.org/imrd/directdoc.asp?DDFDocuments/v/G/SPS/NCHL878.docx", "https://docs.wto.org/imrd/directdoc.asp?DDFDocuments/v/G/SPS/NCHL878.docx")</f>
        <v>https://docs.wto.org/imrd/directdoc.asp?DDFDocuments/v/G/SPS/NCHL878.docx</v>
      </c>
      <c r="U15" t="s">
        <v>43</v>
      </c>
      <c r="V15" t="s">
        <v>43</v>
      </c>
      <c r="W15" t="s">
        <v>43</v>
      </c>
      <c r="X15" t="s">
        <v>43</v>
      </c>
      <c r="Y15" t="s">
        <v>43</v>
      </c>
      <c r="Z15" t="s">
        <v>43</v>
      </c>
      <c r="AA15" t="s">
        <v>43</v>
      </c>
      <c r="AB15" s="2" t="s">
        <v>43</v>
      </c>
      <c r="AC15" t="s">
        <v>46</v>
      </c>
      <c r="AD15" t="s">
        <v>46</v>
      </c>
      <c r="AE15" t="s">
        <v>64</v>
      </c>
      <c r="AF15" t="s">
        <v>46</v>
      </c>
      <c r="AG15" t="s">
        <v>64</v>
      </c>
      <c r="AH15" s="2" t="s">
        <v>43</v>
      </c>
    </row>
    <row r="16" spans="1:34" ht="165">
      <c r="A16" s="6" t="s">
        <v>66</v>
      </c>
      <c r="B16" s="7">
        <v>46099</v>
      </c>
      <c r="C16" s="9" t="str">
        <f>HYPERLINK("https://eping.wto.org/en/Search?viewData= G/SPS/N/MDA/35"," G/SPS/N/MDA/35")</f>
        <v xml:space="preserve"> G/SPS/N/MDA/35</v>
      </c>
      <c r="D16" s="8" t="s">
        <v>153</v>
      </c>
      <c r="E16" s="8" t="s">
        <v>154</v>
      </c>
      <c r="F16" s="8" t="s">
        <v>155</v>
      </c>
      <c r="G16" s="8" t="s">
        <v>156</v>
      </c>
      <c r="H16" s="8" t="s">
        <v>43</v>
      </c>
      <c r="I16" s="8" t="s">
        <v>58</v>
      </c>
      <c r="J16" s="8" t="s">
        <v>43</v>
      </c>
      <c r="K16" s="8" t="s">
        <v>157</v>
      </c>
      <c r="L16" s="6" t="s">
        <v>158</v>
      </c>
      <c r="M16" s="7" t="s">
        <v>43</v>
      </c>
      <c r="N16" s="7"/>
      <c r="O16" s="7">
        <v>46037</v>
      </c>
      <c r="P16" s="6" t="s">
        <v>107</v>
      </c>
      <c r="Q16" s="8" t="s">
        <v>159</v>
      </c>
      <c r="R16" t="str">
        <f>HYPERLINK("https://docs.wto.org/imrd/directdoc.asp?DDFDocuments/t/G/SPS/NMDA35.docx", "https://docs.wto.org/imrd/directdoc.asp?DDFDocuments/t/G/SPS/NMDA35.docx")</f>
        <v>https://docs.wto.org/imrd/directdoc.asp?DDFDocuments/t/G/SPS/NMDA35.docx</v>
      </c>
      <c r="S16" t="str">
        <f>HYPERLINK("https://docs.wto.org/imrd/directdoc.asp?DDFDocuments/u/G/SPS/NMDA35.docx", "https://docs.wto.org/imrd/directdoc.asp?DDFDocuments/u/G/SPS/NMDA35.docx")</f>
        <v>https://docs.wto.org/imrd/directdoc.asp?DDFDocuments/u/G/SPS/NMDA35.docx</v>
      </c>
      <c r="T16" t="str">
        <f>HYPERLINK("https://docs.wto.org/imrd/directdoc.asp?DDFDocuments/v/G/SPS/NMDA35.docx", "https://docs.wto.org/imrd/directdoc.asp?DDFDocuments/v/G/SPS/NMDA35.docx")</f>
        <v>https://docs.wto.org/imrd/directdoc.asp?DDFDocuments/v/G/SPS/NMDA35.docx</v>
      </c>
      <c r="U16" t="s">
        <v>43</v>
      </c>
      <c r="V16" t="s">
        <v>43</v>
      </c>
      <c r="W16" t="s">
        <v>43</v>
      </c>
      <c r="X16" t="s">
        <v>43</v>
      </c>
      <c r="Y16" t="s">
        <v>43</v>
      </c>
      <c r="Z16" t="s">
        <v>43</v>
      </c>
      <c r="AA16" t="s">
        <v>43</v>
      </c>
      <c r="AB16" s="2" t="s">
        <v>43</v>
      </c>
      <c r="AC16" t="s">
        <v>64</v>
      </c>
      <c r="AD16" t="s">
        <v>46</v>
      </c>
      <c r="AE16" t="s">
        <v>46</v>
      </c>
      <c r="AF16" t="s">
        <v>46</v>
      </c>
      <c r="AG16" t="s">
        <v>64</v>
      </c>
      <c r="AH16" s="2" t="s">
        <v>43</v>
      </c>
    </row>
    <row r="17" spans="1:34" ht="210">
      <c r="A17" s="6" t="s">
        <v>124</v>
      </c>
      <c r="B17" s="7">
        <v>46099</v>
      </c>
      <c r="C17" s="9" t="str">
        <f>HYPERLINK("https://eping.wto.org/en/Search?viewData= G/TBT/N/KEN/2013"," G/TBT/N/KEN/2013")</f>
        <v xml:space="preserve"> G/TBT/N/KEN/2013</v>
      </c>
      <c r="D17" s="8" t="s">
        <v>160</v>
      </c>
      <c r="E17" s="8" t="s">
        <v>161</v>
      </c>
      <c r="F17" s="8" t="s">
        <v>127</v>
      </c>
      <c r="G17" s="8" t="s">
        <v>43</v>
      </c>
      <c r="H17" s="8" t="s">
        <v>128</v>
      </c>
      <c r="I17" s="8" t="s">
        <v>129</v>
      </c>
      <c r="J17" s="8" t="s">
        <v>43</v>
      </c>
      <c r="K17" s="8" t="s">
        <v>43</v>
      </c>
      <c r="L17" s="6"/>
      <c r="M17" s="7">
        <v>46159</v>
      </c>
      <c r="N17" s="7" t="s">
        <v>79</v>
      </c>
      <c r="O17" s="7" t="s">
        <v>79</v>
      </c>
      <c r="P17" s="6" t="s">
        <v>62</v>
      </c>
      <c r="Q17" s="8" t="s">
        <v>162</v>
      </c>
      <c r="R17" t="str">
        <f>HYPERLINK("https://docs.wto.org/imrd/directdoc.asp?DDFDocuments/t/G/TBTN26/KEN2013.docx", "https://docs.wto.org/imrd/directdoc.asp?DDFDocuments/t/G/TBTN26/KEN2013.docx")</f>
        <v>https://docs.wto.org/imrd/directdoc.asp?DDFDocuments/t/G/TBTN26/KEN2013.docx</v>
      </c>
      <c r="S17" t="str">
        <f>HYPERLINK("https://docs.wto.org/imrd/directdoc.asp?DDFDocuments/u/G/TBTN26/KEN2013.docx", "https://docs.wto.org/imrd/directdoc.asp?DDFDocuments/u/G/TBTN26/KEN2013.docx")</f>
        <v>https://docs.wto.org/imrd/directdoc.asp?DDFDocuments/u/G/TBTN26/KEN2013.docx</v>
      </c>
      <c r="T17" t="str">
        <f>HYPERLINK("https://docs.wto.org/imrd/directdoc.asp?DDFDocuments/v/G/TBTN26/KEN2013.docx", "https://docs.wto.org/imrd/directdoc.asp?DDFDocuments/v/G/TBTN26/KEN2013.docx")</f>
        <v>https://docs.wto.org/imrd/directdoc.asp?DDFDocuments/v/G/TBTN26/KEN2013.docx</v>
      </c>
      <c r="U17" t="s">
        <v>64</v>
      </c>
      <c r="V17" t="s">
        <v>46</v>
      </c>
      <c r="W17" t="s">
        <v>64</v>
      </c>
      <c r="X17" t="s">
        <v>46</v>
      </c>
      <c r="Y17" t="s">
        <v>46</v>
      </c>
      <c r="Z17" t="s">
        <v>46</v>
      </c>
      <c r="AA17" t="s">
        <v>46</v>
      </c>
      <c r="AB17" s="2" t="s">
        <v>163</v>
      </c>
      <c r="AC17" t="s">
        <v>43</v>
      </c>
      <c r="AD17" t="s">
        <v>43</v>
      </c>
      <c r="AE17" t="s">
        <v>43</v>
      </c>
      <c r="AF17" t="s">
        <v>43</v>
      </c>
      <c r="AG17" t="s">
        <v>43</v>
      </c>
      <c r="AH17" s="2" t="s">
        <v>43</v>
      </c>
    </row>
    <row r="18" spans="1:34" ht="60">
      <c r="A18" s="6" t="s">
        <v>82</v>
      </c>
      <c r="B18" s="7">
        <v>46099</v>
      </c>
      <c r="C18" s="9" t="str">
        <f>HYPERLINK("https://eping.wto.org/en/Search?viewData= G/TBT/N/JPN/873/Add.1"," G/TBT/N/JPN/873/Add.1")</f>
        <v xml:space="preserve"> G/TBT/N/JPN/873/Add.1</v>
      </c>
      <c r="D18" s="8" t="s">
        <v>164</v>
      </c>
      <c r="E18" s="8" t="s">
        <v>165</v>
      </c>
      <c r="F18" s="8" t="s">
        <v>166</v>
      </c>
      <c r="G18" s="8" t="s">
        <v>43</v>
      </c>
      <c r="H18" s="8" t="s">
        <v>86</v>
      </c>
      <c r="I18" s="8" t="s">
        <v>52</v>
      </c>
      <c r="J18" s="8" t="s">
        <v>167</v>
      </c>
      <c r="K18" s="8" t="s">
        <v>43</v>
      </c>
      <c r="L18" s="6"/>
      <c r="M18" s="7" t="s">
        <v>43</v>
      </c>
      <c r="N18" s="7"/>
      <c r="O18" s="7"/>
      <c r="P18" s="6" t="s">
        <v>44</v>
      </c>
      <c r="Q18" s="8" t="s">
        <v>168</v>
      </c>
      <c r="R18" t="str">
        <f>HYPERLINK("https://docs.wto.org/imrd/directdoc.asp?DDFDocuments/t/G/TBTN25/JPN873A1.docx", "https://docs.wto.org/imrd/directdoc.asp?DDFDocuments/t/G/TBTN25/JPN873A1.docx")</f>
        <v>https://docs.wto.org/imrd/directdoc.asp?DDFDocuments/t/G/TBTN25/JPN873A1.docx</v>
      </c>
      <c r="S18" t="str">
        <f>HYPERLINK("https://docs.wto.org/imrd/directdoc.asp?DDFDocuments/u/G/TBTN25/JPN873A1.docx", "https://docs.wto.org/imrd/directdoc.asp?DDFDocuments/u/G/TBTN25/JPN873A1.docx")</f>
        <v>https://docs.wto.org/imrd/directdoc.asp?DDFDocuments/u/G/TBTN25/JPN873A1.docx</v>
      </c>
      <c r="T18" t="str">
        <f>HYPERLINK("https://docs.wto.org/imrd/directdoc.asp?DDFDocuments/v/G/TBTN25/JPN873A1.docx", "https://docs.wto.org/imrd/directdoc.asp?DDFDocuments/v/G/TBTN25/JPN873A1.docx")</f>
        <v>https://docs.wto.org/imrd/directdoc.asp?DDFDocuments/v/G/TBTN25/JPN873A1.docx</v>
      </c>
      <c r="U18" t="s">
        <v>46</v>
      </c>
      <c r="V18" t="s">
        <v>46</v>
      </c>
      <c r="W18" t="s">
        <v>46</v>
      </c>
      <c r="X18" t="s">
        <v>46</v>
      </c>
      <c r="Y18" t="s">
        <v>46</v>
      </c>
      <c r="Z18" t="s">
        <v>46</v>
      </c>
      <c r="AA18" t="s">
        <v>46</v>
      </c>
      <c r="AB18" s="2" t="s">
        <v>43</v>
      </c>
      <c r="AC18" t="s">
        <v>43</v>
      </c>
      <c r="AD18" t="s">
        <v>43</v>
      </c>
      <c r="AE18" t="s">
        <v>43</v>
      </c>
      <c r="AF18" t="s">
        <v>43</v>
      </c>
      <c r="AG18" t="s">
        <v>43</v>
      </c>
      <c r="AH18" s="2" t="s">
        <v>43</v>
      </c>
    </row>
    <row r="19" spans="1:34" ht="315">
      <c r="A19" s="6" t="s">
        <v>124</v>
      </c>
      <c r="B19" s="7">
        <v>46099</v>
      </c>
      <c r="C19" s="9" t="str">
        <f>HYPERLINK("https://eping.wto.org/en/Search?viewData= G/TBT/N/KEN/2011"," G/TBT/N/KEN/2011")</f>
        <v xml:space="preserve"> G/TBT/N/KEN/2011</v>
      </c>
      <c r="D19" s="8" t="s">
        <v>169</v>
      </c>
      <c r="E19" s="8" t="s">
        <v>170</v>
      </c>
      <c r="F19" s="8" t="s">
        <v>127</v>
      </c>
      <c r="G19" s="8" t="s">
        <v>43</v>
      </c>
      <c r="H19" s="8" t="s">
        <v>128</v>
      </c>
      <c r="I19" s="8" t="s">
        <v>129</v>
      </c>
      <c r="J19" s="8" t="s">
        <v>43</v>
      </c>
      <c r="K19" s="8" t="s">
        <v>43</v>
      </c>
      <c r="L19" s="6"/>
      <c r="M19" s="7">
        <v>46159</v>
      </c>
      <c r="N19" s="7" t="s">
        <v>79</v>
      </c>
      <c r="O19" s="7" t="s">
        <v>79</v>
      </c>
      <c r="P19" s="6" t="s">
        <v>62</v>
      </c>
      <c r="Q19" s="8" t="s">
        <v>171</v>
      </c>
      <c r="R19" t="str">
        <f>HYPERLINK("https://docs.wto.org/imrd/directdoc.asp?DDFDocuments/t/G/TBTN26/KEN2011.docx", "https://docs.wto.org/imrd/directdoc.asp?DDFDocuments/t/G/TBTN26/KEN2011.docx")</f>
        <v>https://docs.wto.org/imrd/directdoc.asp?DDFDocuments/t/G/TBTN26/KEN2011.docx</v>
      </c>
      <c r="S19" t="str">
        <f>HYPERLINK("https://docs.wto.org/imrd/directdoc.asp?DDFDocuments/u/G/TBTN26/KEN2011.docx", "https://docs.wto.org/imrd/directdoc.asp?DDFDocuments/u/G/TBTN26/KEN2011.docx")</f>
        <v>https://docs.wto.org/imrd/directdoc.asp?DDFDocuments/u/G/TBTN26/KEN2011.docx</v>
      </c>
      <c r="T19" t="str">
        <f>HYPERLINK("https://docs.wto.org/imrd/directdoc.asp?DDFDocuments/v/G/TBTN26/KEN2011.docx", "https://docs.wto.org/imrd/directdoc.asp?DDFDocuments/v/G/TBTN26/KEN2011.docx")</f>
        <v>https://docs.wto.org/imrd/directdoc.asp?DDFDocuments/v/G/TBTN26/KEN2011.docx</v>
      </c>
      <c r="U19" t="s">
        <v>64</v>
      </c>
      <c r="V19" t="s">
        <v>46</v>
      </c>
      <c r="W19" t="s">
        <v>46</v>
      </c>
      <c r="X19" t="s">
        <v>46</v>
      </c>
      <c r="Y19" t="s">
        <v>46</v>
      </c>
      <c r="Z19" t="s">
        <v>46</v>
      </c>
      <c r="AA19" t="s">
        <v>46</v>
      </c>
      <c r="AB19" s="2" t="s">
        <v>172</v>
      </c>
      <c r="AC19" t="s">
        <v>43</v>
      </c>
      <c r="AD19" t="s">
        <v>43</v>
      </c>
      <c r="AE19" t="s">
        <v>43</v>
      </c>
      <c r="AF19" t="s">
        <v>43</v>
      </c>
      <c r="AG19" t="s">
        <v>43</v>
      </c>
      <c r="AH19" s="2" t="s">
        <v>43</v>
      </c>
    </row>
    <row r="20" spans="1:34" ht="120">
      <c r="A20" s="6" t="s">
        <v>146</v>
      </c>
      <c r="B20" s="7">
        <v>46099</v>
      </c>
      <c r="C20" s="9" t="str">
        <f>HYPERLINK("https://eping.wto.org/en/Search?viewData= G/SPS/N/CHL/868/Add.1"," G/SPS/N/CHL/868/Add.1")</f>
        <v xml:space="preserve"> G/SPS/N/CHL/868/Add.1</v>
      </c>
      <c r="D20" s="8" t="s">
        <v>173</v>
      </c>
      <c r="E20" s="8" t="s">
        <v>173</v>
      </c>
      <c r="F20" s="8" t="s">
        <v>174</v>
      </c>
      <c r="G20" s="8" t="s">
        <v>43</v>
      </c>
      <c r="H20" s="8" t="s">
        <v>43</v>
      </c>
      <c r="I20" s="8" t="s">
        <v>94</v>
      </c>
      <c r="J20" s="8" t="s">
        <v>43</v>
      </c>
      <c r="K20" s="8" t="s">
        <v>175</v>
      </c>
      <c r="L20" s="6"/>
      <c r="M20" s="7" t="s">
        <v>43</v>
      </c>
      <c r="N20" s="7"/>
      <c r="O20" s="7"/>
      <c r="P20" s="6" t="s">
        <v>44</v>
      </c>
      <c r="Q20" s="8" t="s">
        <v>176</v>
      </c>
      <c r="R20" t="str">
        <f>HYPERLINK("https://docs.wto.org/imrd/directdoc.asp?DDFDocuments/t/G/SPS/NCHL868A1.docx", "https://docs.wto.org/imrd/directdoc.asp?DDFDocuments/t/G/SPS/NCHL868A1.docx")</f>
        <v>https://docs.wto.org/imrd/directdoc.asp?DDFDocuments/t/G/SPS/NCHL868A1.docx</v>
      </c>
      <c r="S20" t="str">
        <f>HYPERLINK("https://docs.wto.org/imrd/directdoc.asp?DDFDocuments/u/G/SPS/NCHL868A1.docx", "https://docs.wto.org/imrd/directdoc.asp?DDFDocuments/u/G/SPS/NCHL868A1.docx")</f>
        <v>https://docs.wto.org/imrd/directdoc.asp?DDFDocuments/u/G/SPS/NCHL868A1.docx</v>
      </c>
      <c r="T20" t="str">
        <f>HYPERLINK("https://docs.wto.org/imrd/directdoc.asp?DDFDocuments/v/G/SPS/NCHL868A1.docx", "https://docs.wto.org/imrd/directdoc.asp?DDFDocuments/v/G/SPS/NCHL868A1.docx")</f>
        <v>https://docs.wto.org/imrd/directdoc.asp?DDFDocuments/v/G/SPS/NCHL868A1.docx</v>
      </c>
      <c r="U20" t="s">
        <v>43</v>
      </c>
      <c r="V20" t="s">
        <v>43</v>
      </c>
      <c r="W20" t="s">
        <v>43</v>
      </c>
      <c r="X20" t="s">
        <v>43</v>
      </c>
      <c r="Y20" t="s">
        <v>43</v>
      </c>
      <c r="Z20" t="s">
        <v>43</v>
      </c>
      <c r="AA20" t="s">
        <v>43</v>
      </c>
      <c r="AB20" s="2" t="s">
        <v>43</v>
      </c>
      <c r="AC20" t="s">
        <v>43</v>
      </c>
      <c r="AD20" t="s">
        <v>43</v>
      </c>
      <c r="AE20" t="s">
        <v>43</v>
      </c>
      <c r="AF20" t="s">
        <v>43</v>
      </c>
      <c r="AG20" t="s">
        <v>43</v>
      </c>
      <c r="AH20" s="2" t="s">
        <v>43</v>
      </c>
    </row>
    <row r="21" spans="1:34" ht="165">
      <c r="A21" s="6" t="s">
        <v>124</v>
      </c>
      <c r="B21" s="7">
        <v>46099</v>
      </c>
      <c r="C21" s="9" t="str">
        <f>HYPERLINK("https://eping.wto.org/en/Search?viewData= G/TBT/N/KEN/2001"," G/TBT/N/KEN/2001")</f>
        <v xml:space="preserve"> G/TBT/N/KEN/2001</v>
      </c>
      <c r="D21" s="8" t="s">
        <v>177</v>
      </c>
      <c r="E21" s="8" t="s">
        <v>178</v>
      </c>
      <c r="F21" s="8" t="s">
        <v>179</v>
      </c>
      <c r="G21" s="8" t="s">
        <v>43</v>
      </c>
      <c r="H21" s="8" t="s">
        <v>180</v>
      </c>
      <c r="I21" s="8" t="s">
        <v>181</v>
      </c>
      <c r="J21" s="8" t="s">
        <v>43</v>
      </c>
      <c r="K21" s="8" t="s">
        <v>43</v>
      </c>
      <c r="L21" s="6"/>
      <c r="M21" s="7">
        <v>46159</v>
      </c>
      <c r="N21" s="7" t="s">
        <v>182</v>
      </c>
      <c r="O21" s="7" t="s">
        <v>79</v>
      </c>
      <c r="P21" s="6" t="s">
        <v>62</v>
      </c>
      <c r="Q21" s="8" t="s">
        <v>183</v>
      </c>
      <c r="R21" t="str">
        <f>HYPERLINK("https://docs.wto.org/imrd/directdoc.asp?DDFDocuments/t/G/TBTN26/KEN2001.docx", "https://docs.wto.org/imrd/directdoc.asp?DDFDocuments/t/G/TBTN26/KEN2001.docx")</f>
        <v>https://docs.wto.org/imrd/directdoc.asp?DDFDocuments/t/G/TBTN26/KEN2001.docx</v>
      </c>
      <c r="S21" t="str">
        <f>HYPERLINK("https://docs.wto.org/imrd/directdoc.asp?DDFDocuments/u/G/TBTN26/KEN2001.docx", "https://docs.wto.org/imrd/directdoc.asp?DDFDocuments/u/G/TBTN26/KEN2001.docx")</f>
        <v>https://docs.wto.org/imrd/directdoc.asp?DDFDocuments/u/G/TBTN26/KEN2001.docx</v>
      </c>
      <c r="T21" t="str">
        <f>HYPERLINK("https://docs.wto.org/imrd/directdoc.asp?DDFDocuments/v/G/TBTN26/KEN2001.docx", "https://docs.wto.org/imrd/directdoc.asp?DDFDocuments/v/G/TBTN26/KEN2001.docx")</f>
        <v>https://docs.wto.org/imrd/directdoc.asp?DDFDocuments/v/G/TBTN26/KEN2001.docx</v>
      </c>
      <c r="U21" t="s">
        <v>64</v>
      </c>
      <c r="V21" t="s">
        <v>46</v>
      </c>
      <c r="W21" t="s">
        <v>46</v>
      </c>
      <c r="X21" t="s">
        <v>46</v>
      </c>
      <c r="Y21" t="s">
        <v>46</v>
      </c>
      <c r="Z21" t="s">
        <v>46</v>
      </c>
      <c r="AA21" t="s">
        <v>46</v>
      </c>
      <c r="AB21" s="2" t="s">
        <v>184</v>
      </c>
      <c r="AC21" t="s">
        <v>43</v>
      </c>
      <c r="AD21" t="s">
        <v>43</v>
      </c>
      <c r="AE21" t="s">
        <v>43</v>
      </c>
      <c r="AF21" t="s">
        <v>43</v>
      </c>
      <c r="AG21" t="s">
        <v>43</v>
      </c>
      <c r="AH21" s="2" t="s">
        <v>43</v>
      </c>
    </row>
    <row r="22" spans="1:34" ht="105">
      <c r="A22" s="6" t="s">
        <v>185</v>
      </c>
      <c r="B22" s="7">
        <v>46099</v>
      </c>
      <c r="C22" s="9" t="str">
        <f>HYPERLINK("https://eping.wto.org/en/Search?viewData= G/TBT/N/CHN/2233"," G/TBT/N/CHN/2233")</f>
        <v xml:space="preserve"> G/TBT/N/CHN/2233</v>
      </c>
      <c r="D22" s="8" t="s">
        <v>186</v>
      </c>
      <c r="E22" s="8" t="s">
        <v>187</v>
      </c>
      <c r="F22" s="8" t="s">
        <v>188</v>
      </c>
      <c r="G22" s="8" t="s">
        <v>189</v>
      </c>
      <c r="H22" s="8" t="s">
        <v>190</v>
      </c>
      <c r="I22" s="8" t="s">
        <v>191</v>
      </c>
      <c r="J22" s="8" t="s">
        <v>43</v>
      </c>
      <c r="K22" s="8" t="s">
        <v>43</v>
      </c>
      <c r="L22" s="6"/>
      <c r="M22" s="7" t="s">
        <v>43</v>
      </c>
      <c r="N22" s="7" t="s">
        <v>79</v>
      </c>
      <c r="O22" s="7" t="s">
        <v>192</v>
      </c>
      <c r="P22" s="6" t="s">
        <v>62</v>
      </c>
      <c r="Q22" s="8" t="s">
        <v>193</v>
      </c>
      <c r="R22" t="str">
        <f>HYPERLINK("https://docs.wto.org/imrd/directdoc.asp?DDFDocuments/t/G/TBTN26/CHN2233.docx", "https://docs.wto.org/imrd/directdoc.asp?DDFDocuments/t/G/TBTN26/CHN2233.docx")</f>
        <v>https://docs.wto.org/imrd/directdoc.asp?DDFDocuments/t/G/TBTN26/CHN2233.docx</v>
      </c>
      <c r="S22" t="str">
        <f>HYPERLINK("https://docs.wto.org/imrd/directdoc.asp?DDFDocuments/u/G/TBTN26/CHN2233.docx", "https://docs.wto.org/imrd/directdoc.asp?DDFDocuments/u/G/TBTN26/CHN2233.docx")</f>
        <v>https://docs.wto.org/imrd/directdoc.asp?DDFDocuments/u/G/TBTN26/CHN2233.docx</v>
      </c>
      <c r="T22" t="str">
        <f>HYPERLINK("https://docs.wto.org/imrd/directdoc.asp?DDFDocuments/v/G/TBTN26/CHN2233.docx", "https://docs.wto.org/imrd/directdoc.asp?DDFDocuments/v/G/TBTN26/CHN2233.docx")</f>
        <v>https://docs.wto.org/imrd/directdoc.asp?DDFDocuments/v/G/TBTN26/CHN2233.docx</v>
      </c>
      <c r="U22" t="s">
        <v>46</v>
      </c>
      <c r="V22" t="s">
        <v>64</v>
      </c>
      <c r="W22" t="s">
        <v>46</v>
      </c>
      <c r="X22" t="s">
        <v>46</v>
      </c>
      <c r="Y22" t="s">
        <v>46</v>
      </c>
      <c r="Z22" t="s">
        <v>46</v>
      </c>
      <c r="AA22" t="s">
        <v>46</v>
      </c>
      <c r="AB22" s="2" t="s">
        <v>43</v>
      </c>
      <c r="AC22" t="s">
        <v>43</v>
      </c>
      <c r="AD22" t="s">
        <v>43</v>
      </c>
      <c r="AE22" t="s">
        <v>43</v>
      </c>
      <c r="AF22" t="s">
        <v>43</v>
      </c>
      <c r="AG22" t="s">
        <v>43</v>
      </c>
      <c r="AH22" s="2" t="s">
        <v>43</v>
      </c>
    </row>
    <row r="23" spans="1:34" ht="75">
      <c r="A23" s="6" t="s">
        <v>89</v>
      </c>
      <c r="B23" s="7">
        <v>46099</v>
      </c>
      <c r="C23" s="9" t="str">
        <f>HYPERLINK("https://eping.wto.org/en/Search?viewData= G/SPS/N/CRI/353"," G/SPS/N/CRI/353")</f>
        <v xml:space="preserve"> G/SPS/N/CRI/353</v>
      </c>
      <c r="D23" s="8" t="s">
        <v>194</v>
      </c>
      <c r="E23" s="8" t="s">
        <v>195</v>
      </c>
      <c r="F23" s="8" t="s">
        <v>119</v>
      </c>
      <c r="G23" s="8" t="s">
        <v>120</v>
      </c>
      <c r="H23" s="8" t="s">
        <v>43</v>
      </c>
      <c r="I23" s="8" t="s">
        <v>94</v>
      </c>
      <c r="J23" s="8" t="s">
        <v>43</v>
      </c>
      <c r="K23" s="8" t="s">
        <v>121</v>
      </c>
      <c r="L23" s="6" t="s">
        <v>196</v>
      </c>
      <c r="M23" s="7">
        <v>46159</v>
      </c>
      <c r="N23" s="7" t="s">
        <v>79</v>
      </c>
      <c r="O23" s="7" t="s">
        <v>97</v>
      </c>
      <c r="P23" s="6" t="s">
        <v>62</v>
      </c>
      <c r="Q23" s="8" t="s">
        <v>197</v>
      </c>
      <c r="R23" t="str">
        <f>HYPERLINK("https://docs.wto.org/imrd/directdoc.asp?DDFDocuments/t/G/SPS/NCRI353.docx", "https://docs.wto.org/imrd/directdoc.asp?DDFDocuments/t/G/SPS/NCRI353.docx")</f>
        <v>https://docs.wto.org/imrd/directdoc.asp?DDFDocuments/t/G/SPS/NCRI353.docx</v>
      </c>
      <c r="S23" t="str">
        <f>HYPERLINK("https://docs.wto.org/imrd/directdoc.asp?DDFDocuments/u/G/SPS/NCRI353.docx", "https://docs.wto.org/imrd/directdoc.asp?DDFDocuments/u/G/SPS/NCRI353.docx")</f>
        <v>https://docs.wto.org/imrd/directdoc.asp?DDFDocuments/u/G/SPS/NCRI353.docx</v>
      </c>
      <c r="T23" t="str">
        <f>HYPERLINK("https://docs.wto.org/imrd/directdoc.asp?DDFDocuments/v/G/SPS/NCRI353.docx", "https://docs.wto.org/imrd/directdoc.asp?DDFDocuments/v/G/SPS/NCRI353.docx")</f>
        <v>https://docs.wto.org/imrd/directdoc.asp?DDFDocuments/v/G/SPS/NCRI353.docx</v>
      </c>
      <c r="U23" t="s">
        <v>43</v>
      </c>
      <c r="V23" t="s">
        <v>43</v>
      </c>
      <c r="W23" t="s">
        <v>43</v>
      </c>
      <c r="X23" t="s">
        <v>43</v>
      </c>
      <c r="Y23" t="s">
        <v>43</v>
      </c>
      <c r="Z23" t="s">
        <v>43</v>
      </c>
      <c r="AA23" t="s">
        <v>43</v>
      </c>
      <c r="AB23" s="2" t="s">
        <v>43</v>
      </c>
      <c r="AC23" t="s">
        <v>46</v>
      </c>
      <c r="AD23" t="s">
        <v>46</v>
      </c>
      <c r="AE23" t="s">
        <v>46</v>
      </c>
      <c r="AF23" t="s">
        <v>64</v>
      </c>
      <c r="AG23" t="s">
        <v>99</v>
      </c>
      <c r="AH23" s="2" t="s">
        <v>43</v>
      </c>
    </row>
    <row r="24" spans="1:34" ht="60">
      <c r="A24" s="6" t="s">
        <v>198</v>
      </c>
      <c r="B24" s="7">
        <v>46099</v>
      </c>
      <c r="C24" s="9" t="str">
        <f>HYPERLINK("https://eping.wto.org/en/Search?viewData= G/SPS/N/NZL/788/Add.1"," G/SPS/N/NZL/788/Add.1")</f>
        <v xml:space="preserve"> G/SPS/N/NZL/788/Add.1</v>
      </c>
      <c r="D24" s="8" t="s">
        <v>199</v>
      </c>
      <c r="E24" s="8" t="s">
        <v>200</v>
      </c>
      <c r="F24" s="8" t="s">
        <v>201</v>
      </c>
      <c r="G24" s="8" t="s">
        <v>202</v>
      </c>
      <c r="H24" s="8" t="s">
        <v>43</v>
      </c>
      <c r="I24" s="8" t="s">
        <v>94</v>
      </c>
      <c r="J24" s="8" t="s">
        <v>43</v>
      </c>
      <c r="K24" s="8" t="s">
        <v>203</v>
      </c>
      <c r="L24" s="6"/>
      <c r="M24" s="7" t="s">
        <v>43</v>
      </c>
      <c r="N24" s="7"/>
      <c r="O24" s="7"/>
      <c r="P24" s="6" t="s">
        <v>44</v>
      </c>
      <c r="Q24" s="8" t="s">
        <v>204</v>
      </c>
      <c r="R24" t="str">
        <f>HYPERLINK("https://docs.wto.org/imrd/directdoc.asp?DDFDocuments/t/G/SPS/NNZL788A1.docx", "https://docs.wto.org/imrd/directdoc.asp?DDFDocuments/t/G/SPS/NNZL788A1.docx")</f>
        <v>https://docs.wto.org/imrd/directdoc.asp?DDFDocuments/t/G/SPS/NNZL788A1.docx</v>
      </c>
      <c r="S24" t="str">
        <f>HYPERLINK("https://docs.wto.org/imrd/directdoc.asp?DDFDocuments/u/G/SPS/NNZL788A1.docx", "https://docs.wto.org/imrd/directdoc.asp?DDFDocuments/u/G/SPS/NNZL788A1.docx")</f>
        <v>https://docs.wto.org/imrd/directdoc.asp?DDFDocuments/u/G/SPS/NNZL788A1.docx</v>
      </c>
      <c r="T24" t="str">
        <f>HYPERLINK("https://docs.wto.org/imrd/directdoc.asp?DDFDocuments/v/G/SPS/NNZL788A1.docx", "https://docs.wto.org/imrd/directdoc.asp?DDFDocuments/v/G/SPS/NNZL788A1.docx")</f>
        <v>https://docs.wto.org/imrd/directdoc.asp?DDFDocuments/v/G/SPS/NNZL788A1.docx</v>
      </c>
      <c r="U24" t="s">
        <v>43</v>
      </c>
      <c r="V24" t="s">
        <v>43</v>
      </c>
      <c r="W24" t="s">
        <v>43</v>
      </c>
      <c r="X24" t="s">
        <v>43</v>
      </c>
      <c r="Y24" t="s">
        <v>43</v>
      </c>
      <c r="Z24" t="s">
        <v>43</v>
      </c>
      <c r="AA24" t="s">
        <v>43</v>
      </c>
      <c r="AB24" s="2" t="s">
        <v>43</v>
      </c>
      <c r="AC24" t="s">
        <v>43</v>
      </c>
      <c r="AD24" t="s">
        <v>43</v>
      </c>
      <c r="AE24" t="s">
        <v>43</v>
      </c>
      <c r="AF24" t="s">
        <v>43</v>
      </c>
      <c r="AG24" t="s">
        <v>43</v>
      </c>
      <c r="AH24" s="2" t="s">
        <v>43</v>
      </c>
    </row>
    <row r="25" spans="1:34" ht="409.5">
      <c r="A25" s="6" t="s">
        <v>124</v>
      </c>
      <c r="B25" s="7">
        <v>46099</v>
      </c>
      <c r="C25" s="9" t="str">
        <f>HYPERLINK("https://eping.wto.org/en/Search?viewData= G/TBT/N/KEN/2012"," G/TBT/N/KEN/2012")</f>
        <v xml:space="preserve"> G/TBT/N/KEN/2012</v>
      </c>
      <c r="D25" s="8" t="s">
        <v>205</v>
      </c>
      <c r="E25" s="8" t="s">
        <v>206</v>
      </c>
      <c r="F25" s="8" t="s">
        <v>127</v>
      </c>
      <c r="G25" s="8" t="s">
        <v>43</v>
      </c>
      <c r="H25" s="8" t="s">
        <v>128</v>
      </c>
      <c r="I25" s="8" t="s">
        <v>129</v>
      </c>
      <c r="J25" s="8" t="s">
        <v>43</v>
      </c>
      <c r="K25" s="8" t="s">
        <v>43</v>
      </c>
      <c r="L25" s="6"/>
      <c r="M25" s="7">
        <v>46159</v>
      </c>
      <c r="N25" s="7" t="s">
        <v>79</v>
      </c>
      <c r="O25" s="7" t="s">
        <v>79</v>
      </c>
      <c r="P25" s="6" t="s">
        <v>62</v>
      </c>
      <c r="Q25" s="8" t="s">
        <v>207</v>
      </c>
      <c r="R25" t="str">
        <f>HYPERLINK("https://docs.wto.org/imrd/directdoc.asp?DDFDocuments/t/G/TBTN26/KEN2012.docx", "https://docs.wto.org/imrd/directdoc.asp?DDFDocuments/t/G/TBTN26/KEN2012.docx")</f>
        <v>https://docs.wto.org/imrd/directdoc.asp?DDFDocuments/t/G/TBTN26/KEN2012.docx</v>
      </c>
      <c r="S25" t="str">
        <f>HYPERLINK("https://docs.wto.org/imrd/directdoc.asp?DDFDocuments/u/G/TBTN26/KEN2012.docx", "https://docs.wto.org/imrd/directdoc.asp?DDFDocuments/u/G/TBTN26/KEN2012.docx")</f>
        <v>https://docs.wto.org/imrd/directdoc.asp?DDFDocuments/u/G/TBTN26/KEN2012.docx</v>
      </c>
      <c r="T25" t="str">
        <f>HYPERLINK("https://docs.wto.org/imrd/directdoc.asp?DDFDocuments/v/G/TBTN26/KEN2012.docx", "https://docs.wto.org/imrd/directdoc.asp?DDFDocuments/v/G/TBTN26/KEN2012.docx")</f>
        <v>https://docs.wto.org/imrd/directdoc.asp?DDFDocuments/v/G/TBTN26/KEN2012.docx</v>
      </c>
      <c r="U25" t="s">
        <v>64</v>
      </c>
      <c r="V25" t="s">
        <v>46</v>
      </c>
      <c r="W25" t="s">
        <v>46</v>
      </c>
      <c r="X25" t="s">
        <v>46</v>
      </c>
      <c r="Y25" t="s">
        <v>46</v>
      </c>
      <c r="Z25" t="s">
        <v>46</v>
      </c>
      <c r="AA25" t="s">
        <v>46</v>
      </c>
      <c r="AB25" s="2" t="s">
        <v>208</v>
      </c>
      <c r="AC25" t="s">
        <v>43</v>
      </c>
      <c r="AD25" t="s">
        <v>43</v>
      </c>
      <c r="AE25" t="s">
        <v>43</v>
      </c>
      <c r="AF25" t="s">
        <v>43</v>
      </c>
      <c r="AG25" t="s">
        <v>43</v>
      </c>
      <c r="AH25" s="2" t="s">
        <v>43</v>
      </c>
    </row>
    <row r="26" spans="1:34" ht="270">
      <c r="A26" s="6" t="s">
        <v>209</v>
      </c>
      <c r="B26" s="7">
        <v>46099</v>
      </c>
      <c r="C26" s="9" t="str">
        <f>HYPERLINK("https://eping.wto.org/en/Search?viewData= G/SPS/N/RUS/354"," G/SPS/N/RUS/354")</f>
        <v xml:space="preserve"> G/SPS/N/RUS/354</v>
      </c>
      <c r="D26" s="8" t="s">
        <v>210</v>
      </c>
      <c r="E26" s="8" t="s">
        <v>211</v>
      </c>
      <c r="F26" s="8" t="s">
        <v>212</v>
      </c>
      <c r="G26" s="8" t="s">
        <v>213</v>
      </c>
      <c r="H26" s="8" t="s">
        <v>43</v>
      </c>
      <c r="I26" s="8" t="s">
        <v>104</v>
      </c>
      <c r="J26" s="8" t="s">
        <v>43</v>
      </c>
      <c r="K26" s="8" t="s">
        <v>214</v>
      </c>
      <c r="L26" s="6" t="s">
        <v>215</v>
      </c>
      <c r="M26" s="7" t="s">
        <v>43</v>
      </c>
      <c r="N26" s="7"/>
      <c r="O26" s="7">
        <v>46092</v>
      </c>
      <c r="P26" s="6" t="s">
        <v>107</v>
      </c>
      <c r="Q26" s="8" t="s">
        <v>216</v>
      </c>
      <c r="R26" t="str">
        <f>HYPERLINK("https://docs.wto.org/imrd/directdoc.asp?DDFDocuments/t/G/SPS/NRUS354.docx", "https://docs.wto.org/imrd/directdoc.asp?DDFDocuments/t/G/SPS/NRUS354.docx")</f>
        <v>https://docs.wto.org/imrd/directdoc.asp?DDFDocuments/t/G/SPS/NRUS354.docx</v>
      </c>
      <c r="S26" t="str">
        <f>HYPERLINK("https://docs.wto.org/imrd/directdoc.asp?DDFDocuments/u/G/SPS/NRUS354.docx", "https://docs.wto.org/imrd/directdoc.asp?DDFDocuments/u/G/SPS/NRUS354.docx")</f>
        <v>https://docs.wto.org/imrd/directdoc.asp?DDFDocuments/u/G/SPS/NRUS354.docx</v>
      </c>
      <c r="T26" t="str">
        <f>HYPERLINK("https://docs.wto.org/imrd/directdoc.asp?DDFDocuments/v/G/SPS/NRUS354.docx", "https://docs.wto.org/imrd/directdoc.asp?DDFDocuments/v/G/SPS/NRUS354.docx")</f>
        <v>https://docs.wto.org/imrd/directdoc.asp?DDFDocuments/v/G/SPS/NRUS354.docx</v>
      </c>
      <c r="U26" t="s">
        <v>43</v>
      </c>
      <c r="V26" t="s">
        <v>43</v>
      </c>
      <c r="W26" t="s">
        <v>43</v>
      </c>
      <c r="X26" t="s">
        <v>43</v>
      </c>
      <c r="Y26" t="s">
        <v>43</v>
      </c>
      <c r="Z26" t="s">
        <v>43</v>
      </c>
      <c r="AA26" t="s">
        <v>43</v>
      </c>
      <c r="AB26" s="2" t="s">
        <v>43</v>
      </c>
      <c r="AC26" t="s">
        <v>46</v>
      </c>
      <c r="AD26" t="s">
        <v>64</v>
      </c>
      <c r="AE26" t="s">
        <v>46</v>
      </c>
      <c r="AF26" t="s">
        <v>46</v>
      </c>
      <c r="AG26" t="s">
        <v>64</v>
      </c>
      <c r="AH26" s="2" t="s">
        <v>43</v>
      </c>
    </row>
    <row r="27" spans="1:34" ht="240">
      <c r="A27" s="6" t="s">
        <v>124</v>
      </c>
      <c r="B27" s="7">
        <v>46099</v>
      </c>
      <c r="C27" s="9" t="str">
        <f>HYPERLINK("https://eping.wto.org/en/Search?viewData= G/TBT/N/KEN/2005"," G/TBT/N/KEN/2005")</f>
        <v xml:space="preserve"> G/TBT/N/KEN/2005</v>
      </c>
      <c r="D27" s="8" t="s">
        <v>217</v>
      </c>
      <c r="E27" s="8" t="s">
        <v>218</v>
      </c>
      <c r="F27" s="8" t="s">
        <v>179</v>
      </c>
      <c r="G27" s="8" t="s">
        <v>43</v>
      </c>
      <c r="H27" s="8" t="s">
        <v>180</v>
      </c>
      <c r="I27" s="8" t="s">
        <v>181</v>
      </c>
      <c r="J27" s="8" t="s">
        <v>43</v>
      </c>
      <c r="K27" s="8" t="s">
        <v>43</v>
      </c>
      <c r="L27" s="6"/>
      <c r="M27" s="7">
        <v>46159</v>
      </c>
      <c r="N27" s="7" t="s">
        <v>182</v>
      </c>
      <c r="O27" s="7" t="s">
        <v>79</v>
      </c>
      <c r="P27" s="6" t="s">
        <v>62</v>
      </c>
      <c r="Q27" s="8" t="s">
        <v>219</v>
      </c>
      <c r="R27" t="str">
        <f>HYPERLINK("https://docs.wto.org/imrd/directdoc.asp?DDFDocuments/t/G/TBTN26/KEN2005.docx", "https://docs.wto.org/imrd/directdoc.asp?DDFDocuments/t/G/TBTN26/KEN2005.docx")</f>
        <v>https://docs.wto.org/imrd/directdoc.asp?DDFDocuments/t/G/TBTN26/KEN2005.docx</v>
      </c>
      <c r="S27" t="str">
        <f>HYPERLINK("https://docs.wto.org/imrd/directdoc.asp?DDFDocuments/u/G/TBTN26/KEN2005.docx", "https://docs.wto.org/imrd/directdoc.asp?DDFDocuments/u/G/TBTN26/KEN2005.docx")</f>
        <v>https://docs.wto.org/imrd/directdoc.asp?DDFDocuments/u/G/TBTN26/KEN2005.docx</v>
      </c>
      <c r="T27" t="str">
        <f>HYPERLINK("https://docs.wto.org/imrd/directdoc.asp?DDFDocuments/v/G/TBTN26/KEN2005.docx", "https://docs.wto.org/imrd/directdoc.asp?DDFDocuments/v/G/TBTN26/KEN2005.docx")</f>
        <v>https://docs.wto.org/imrd/directdoc.asp?DDFDocuments/v/G/TBTN26/KEN2005.docx</v>
      </c>
      <c r="U27" t="s">
        <v>64</v>
      </c>
      <c r="V27" t="s">
        <v>46</v>
      </c>
      <c r="W27" t="s">
        <v>46</v>
      </c>
      <c r="X27" t="s">
        <v>46</v>
      </c>
      <c r="Y27" t="s">
        <v>46</v>
      </c>
      <c r="Z27" t="s">
        <v>46</v>
      </c>
      <c r="AA27" t="s">
        <v>46</v>
      </c>
      <c r="AB27" s="2" t="s">
        <v>220</v>
      </c>
      <c r="AC27" t="s">
        <v>43</v>
      </c>
      <c r="AD27" t="s">
        <v>43</v>
      </c>
      <c r="AE27" t="s">
        <v>43</v>
      </c>
      <c r="AF27" t="s">
        <v>43</v>
      </c>
      <c r="AG27" t="s">
        <v>43</v>
      </c>
      <c r="AH27" s="2" t="s">
        <v>43</v>
      </c>
    </row>
    <row r="28" spans="1:34" ht="225">
      <c r="A28" s="6" t="s">
        <v>124</v>
      </c>
      <c r="B28" s="7">
        <v>46099</v>
      </c>
      <c r="C28" s="9" t="str">
        <f>HYPERLINK("https://eping.wto.org/en/Search?viewData= G/TBT/N/KEN/2004"," G/TBT/N/KEN/2004")</f>
        <v xml:space="preserve"> G/TBT/N/KEN/2004</v>
      </c>
      <c r="D28" s="8" t="s">
        <v>221</v>
      </c>
      <c r="E28" s="8" t="s">
        <v>222</v>
      </c>
      <c r="F28" s="8" t="s">
        <v>179</v>
      </c>
      <c r="G28" s="8" t="s">
        <v>43</v>
      </c>
      <c r="H28" s="8" t="s">
        <v>180</v>
      </c>
      <c r="I28" s="8" t="s">
        <v>181</v>
      </c>
      <c r="J28" s="8" t="s">
        <v>43</v>
      </c>
      <c r="K28" s="8" t="s">
        <v>43</v>
      </c>
      <c r="L28" s="6"/>
      <c r="M28" s="7">
        <v>46159</v>
      </c>
      <c r="N28" s="7" t="s">
        <v>182</v>
      </c>
      <c r="O28" s="7" t="s">
        <v>79</v>
      </c>
      <c r="P28" s="6" t="s">
        <v>62</v>
      </c>
      <c r="Q28" s="8" t="s">
        <v>223</v>
      </c>
      <c r="R28" t="str">
        <f>HYPERLINK("https://docs.wto.org/imrd/directdoc.asp?DDFDocuments/t/G/TBTN26/KEN2004.docx", "https://docs.wto.org/imrd/directdoc.asp?DDFDocuments/t/G/TBTN26/KEN2004.docx")</f>
        <v>https://docs.wto.org/imrd/directdoc.asp?DDFDocuments/t/G/TBTN26/KEN2004.docx</v>
      </c>
      <c r="S28" t="str">
        <f>HYPERLINK("https://docs.wto.org/imrd/directdoc.asp?DDFDocuments/u/G/TBTN26/KEN2004.docx", "https://docs.wto.org/imrd/directdoc.asp?DDFDocuments/u/G/TBTN26/KEN2004.docx")</f>
        <v>https://docs.wto.org/imrd/directdoc.asp?DDFDocuments/u/G/TBTN26/KEN2004.docx</v>
      </c>
      <c r="T28" t="str">
        <f>HYPERLINK("https://docs.wto.org/imrd/directdoc.asp?DDFDocuments/v/G/TBTN26/KEN2004.docx", "https://docs.wto.org/imrd/directdoc.asp?DDFDocuments/v/G/TBTN26/KEN2004.docx")</f>
        <v>https://docs.wto.org/imrd/directdoc.asp?DDFDocuments/v/G/TBTN26/KEN2004.docx</v>
      </c>
      <c r="U28" t="s">
        <v>64</v>
      </c>
      <c r="V28" t="s">
        <v>46</v>
      </c>
      <c r="W28" t="s">
        <v>46</v>
      </c>
      <c r="X28" t="s">
        <v>46</v>
      </c>
      <c r="Y28" t="s">
        <v>46</v>
      </c>
      <c r="Z28" t="s">
        <v>46</v>
      </c>
      <c r="AA28" t="s">
        <v>46</v>
      </c>
      <c r="AB28" s="2" t="s">
        <v>224</v>
      </c>
      <c r="AC28" t="s">
        <v>43</v>
      </c>
      <c r="AD28" t="s">
        <v>43</v>
      </c>
      <c r="AE28" t="s">
        <v>43</v>
      </c>
      <c r="AF28" t="s">
        <v>43</v>
      </c>
      <c r="AG28" t="s">
        <v>43</v>
      </c>
      <c r="AH28" s="2" t="s">
        <v>43</v>
      </c>
    </row>
    <row r="29" spans="1:34" ht="105">
      <c r="A29" s="6" t="s">
        <v>124</v>
      </c>
      <c r="B29" s="7">
        <v>46099</v>
      </c>
      <c r="C29" s="9" t="str">
        <f>HYPERLINK("https://eping.wto.org/en/Search?viewData= G/TBT/N/KEN/2010"," G/TBT/N/KEN/2010")</f>
        <v xml:space="preserve"> G/TBT/N/KEN/2010</v>
      </c>
      <c r="D29" s="8" t="s">
        <v>225</v>
      </c>
      <c r="E29" s="8" t="s">
        <v>226</v>
      </c>
      <c r="F29" s="8" t="s">
        <v>227</v>
      </c>
      <c r="G29" s="8" t="s">
        <v>43</v>
      </c>
      <c r="H29" s="8" t="s">
        <v>228</v>
      </c>
      <c r="I29" s="8" t="s">
        <v>129</v>
      </c>
      <c r="J29" s="8" t="s">
        <v>43</v>
      </c>
      <c r="K29" s="8" t="s">
        <v>43</v>
      </c>
      <c r="L29" s="6"/>
      <c r="M29" s="7">
        <v>46159</v>
      </c>
      <c r="N29" s="7" t="s">
        <v>79</v>
      </c>
      <c r="O29" s="7" t="s">
        <v>79</v>
      </c>
      <c r="P29" s="6" t="s">
        <v>62</v>
      </c>
      <c r="Q29" s="8" t="s">
        <v>229</v>
      </c>
      <c r="R29" t="str">
        <f>HYPERLINK("https://docs.wto.org/imrd/directdoc.asp?DDFDocuments/t/G/TBTN26/KEN2010.docx", "https://docs.wto.org/imrd/directdoc.asp?DDFDocuments/t/G/TBTN26/KEN2010.docx")</f>
        <v>https://docs.wto.org/imrd/directdoc.asp?DDFDocuments/t/G/TBTN26/KEN2010.docx</v>
      </c>
      <c r="S29" t="str">
        <f>HYPERLINK("https://docs.wto.org/imrd/directdoc.asp?DDFDocuments/u/G/TBTN26/KEN2010.docx", "https://docs.wto.org/imrd/directdoc.asp?DDFDocuments/u/G/TBTN26/KEN2010.docx")</f>
        <v>https://docs.wto.org/imrd/directdoc.asp?DDFDocuments/u/G/TBTN26/KEN2010.docx</v>
      </c>
      <c r="T29" t="str">
        <f>HYPERLINK("https://docs.wto.org/imrd/directdoc.asp?DDFDocuments/v/G/TBTN26/KEN2010.docx", "https://docs.wto.org/imrd/directdoc.asp?DDFDocuments/v/G/TBTN26/KEN2010.docx")</f>
        <v>https://docs.wto.org/imrd/directdoc.asp?DDFDocuments/v/G/TBTN26/KEN2010.docx</v>
      </c>
      <c r="U29" t="s">
        <v>64</v>
      </c>
      <c r="V29" t="s">
        <v>46</v>
      </c>
      <c r="W29" t="s">
        <v>46</v>
      </c>
      <c r="X29" t="s">
        <v>46</v>
      </c>
      <c r="Y29" t="s">
        <v>46</v>
      </c>
      <c r="Z29" t="s">
        <v>46</v>
      </c>
      <c r="AA29" t="s">
        <v>46</v>
      </c>
      <c r="AB29" s="2" t="s">
        <v>230</v>
      </c>
      <c r="AC29" t="s">
        <v>43</v>
      </c>
      <c r="AD29" t="s">
        <v>43</v>
      </c>
      <c r="AE29" t="s">
        <v>43</v>
      </c>
      <c r="AF29" t="s">
        <v>43</v>
      </c>
      <c r="AG29" t="s">
        <v>43</v>
      </c>
      <c r="AH29" s="2" t="s">
        <v>43</v>
      </c>
    </row>
    <row r="30" spans="1:34" ht="240">
      <c r="A30" s="6" t="s">
        <v>124</v>
      </c>
      <c r="B30" s="7">
        <v>46099</v>
      </c>
      <c r="C30" s="9" t="str">
        <f>HYPERLINK("https://eping.wto.org/en/Search?viewData= G/TBT/N/KEN/2002"," G/TBT/N/KEN/2002")</f>
        <v xml:space="preserve"> G/TBT/N/KEN/2002</v>
      </c>
      <c r="D30" s="8" t="s">
        <v>231</v>
      </c>
      <c r="E30" s="8" t="s">
        <v>232</v>
      </c>
      <c r="F30" s="8" t="s">
        <v>179</v>
      </c>
      <c r="G30" s="8" t="s">
        <v>43</v>
      </c>
      <c r="H30" s="8" t="s">
        <v>180</v>
      </c>
      <c r="I30" s="8" t="s">
        <v>181</v>
      </c>
      <c r="J30" s="8" t="s">
        <v>43</v>
      </c>
      <c r="K30" s="8" t="s">
        <v>43</v>
      </c>
      <c r="L30" s="6"/>
      <c r="M30" s="7">
        <v>46159</v>
      </c>
      <c r="N30" s="7" t="s">
        <v>182</v>
      </c>
      <c r="O30" s="7" t="s">
        <v>79</v>
      </c>
      <c r="P30" s="6" t="s">
        <v>62</v>
      </c>
      <c r="Q30" s="8" t="s">
        <v>233</v>
      </c>
      <c r="R30" t="str">
        <f>HYPERLINK("https://docs.wto.org/imrd/directdoc.asp?DDFDocuments/t/G/TBTN26/KEN2002.docx", "https://docs.wto.org/imrd/directdoc.asp?DDFDocuments/t/G/TBTN26/KEN2002.docx")</f>
        <v>https://docs.wto.org/imrd/directdoc.asp?DDFDocuments/t/G/TBTN26/KEN2002.docx</v>
      </c>
      <c r="S30" t="str">
        <f>HYPERLINK("https://docs.wto.org/imrd/directdoc.asp?DDFDocuments/u/G/TBTN26/KEN2002.docx", "https://docs.wto.org/imrd/directdoc.asp?DDFDocuments/u/G/TBTN26/KEN2002.docx")</f>
        <v>https://docs.wto.org/imrd/directdoc.asp?DDFDocuments/u/G/TBTN26/KEN2002.docx</v>
      </c>
      <c r="T30" t="str">
        <f>HYPERLINK("https://docs.wto.org/imrd/directdoc.asp?DDFDocuments/v/G/TBTN26/KEN2002.docx", "https://docs.wto.org/imrd/directdoc.asp?DDFDocuments/v/G/TBTN26/KEN2002.docx")</f>
        <v>https://docs.wto.org/imrd/directdoc.asp?DDFDocuments/v/G/TBTN26/KEN2002.docx</v>
      </c>
      <c r="U30" t="s">
        <v>64</v>
      </c>
      <c r="V30" t="s">
        <v>46</v>
      </c>
      <c r="W30" t="s">
        <v>46</v>
      </c>
      <c r="X30" t="s">
        <v>46</v>
      </c>
      <c r="Y30" t="s">
        <v>46</v>
      </c>
      <c r="Z30" t="s">
        <v>46</v>
      </c>
      <c r="AA30" t="s">
        <v>46</v>
      </c>
      <c r="AB30" s="2" t="s">
        <v>234</v>
      </c>
      <c r="AC30" t="s">
        <v>43</v>
      </c>
      <c r="AD30" t="s">
        <v>43</v>
      </c>
      <c r="AE30" t="s">
        <v>43</v>
      </c>
      <c r="AF30" t="s">
        <v>43</v>
      </c>
      <c r="AG30" t="s">
        <v>43</v>
      </c>
      <c r="AH30" s="2" t="s">
        <v>43</v>
      </c>
    </row>
    <row r="31" spans="1:34" ht="60">
      <c r="A31" s="6" t="s">
        <v>124</v>
      </c>
      <c r="B31" s="7">
        <v>46099</v>
      </c>
      <c r="C31" s="9" t="str">
        <f>HYPERLINK("https://eping.wto.org/en/Search?viewData= G/TBT/N/KEN/2007"," G/TBT/N/KEN/2007")</f>
        <v xml:space="preserve"> G/TBT/N/KEN/2007</v>
      </c>
      <c r="D31" s="8" t="s">
        <v>235</v>
      </c>
      <c r="E31" s="8" t="s">
        <v>236</v>
      </c>
      <c r="F31" s="8" t="s">
        <v>237</v>
      </c>
      <c r="G31" s="8" t="s">
        <v>43</v>
      </c>
      <c r="H31" s="8" t="s">
        <v>238</v>
      </c>
      <c r="I31" s="8" t="s">
        <v>239</v>
      </c>
      <c r="J31" s="8" t="s">
        <v>43</v>
      </c>
      <c r="K31" s="8" t="s">
        <v>240</v>
      </c>
      <c r="L31" s="6"/>
      <c r="M31" s="7">
        <v>46159</v>
      </c>
      <c r="N31" s="7" t="s">
        <v>79</v>
      </c>
      <c r="O31" s="7" t="s">
        <v>79</v>
      </c>
      <c r="P31" s="6" t="s">
        <v>62</v>
      </c>
      <c r="Q31" s="8" t="s">
        <v>241</v>
      </c>
      <c r="R31" t="str">
        <f>HYPERLINK("https://docs.wto.org/imrd/directdoc.asp?DDFDocuments/t/G/TBTN26/KEN2007.docx", "https://docs.wto.org/imrd/directdoc.asp?DDFDocuments/t/G/TBTN26/KEN2007.docx")</f>
        <v>https://docs.wto.org/imrd/directdoc.asp?DDFDocuments/t/G/TBTN26/KEN2007.docx</v>
      </c>
      <c r="S31" t="str">
        <f>HYPERLINK("https://docs.wto.org/imrd/directdoc.asp?DDFDocuments/u/G/TBTN26/KEN2007.docx", "https://docs.wto.org/imrd/directdoc.asp?DDFDocuments/u/G/TBTN26/KEN2007.docx")</f>
        <v>https://docs.wto.org/imrd/directdoc.asp?DDFDocuments/u/G/TBTN26/KEN2007.docx</v>
      </c>
      <c r="T31" t="str">
        <f>HYPERLINK("https://docs.wto.org/imrd/directdoc.asp?DDFDocuments/v/G/TBTN26/KEN2007.docx", "https://docs.wto.org/imrd/directdoc.asp?DDFDocuments/v/G/TBTN26/KEN2007.docx")</f>
        <v>https://docs.wto.org/imrd/directdoc.asp?DDFDocuments/v/G/TBTN26/KEN2007.docx</v>
      </c>
      <c r="U31" t="s">
        <v>64</v>
      </c>
      <c r="V31" t="s">
        <v>46</v>
      </c>
      <c r="W31" t="s">
        <v>64</v>
      </c>
      <c r="X31" t="s">
        <v>46</v>
      </c>
      <c r="Y31" t="s">
        <v>46</v>
      </c>
      <c r="Z31" t="s">
        <v>46</v>
      </c>
      <c r="AA31" t="s">
        <v>46</v>
      </c>
      <c r="AB31" s="2" t="s">
        <v>242</v>
      </c>
      <c r="AC31" t="s">
        <v>43</v>
      </c>
      <c r="AD31" t="s">
        <v>43</v>
      </c>
      <c r="AE31" t="s">
        <v>43</v>
      </c>
      <c r="AF31" t="s">
        <v>43</v>
      </c>
      <c r="AG31" t="s">
        <v>43</v>
      </c>
      <c r="AH31" s="2" t="s">
        <v>43</v>
      </c>
    </row>
    <row r="32" spans="1:34" ht="409.5">
      <c r="A32" s="6" t="s">
        <v>209</v>
      </c>
      <c r="B32" s="7">
        <v>46099</v>
      </c>
      <c r="C32" s="9" t="str">
        <f>HYPERLINK("https://eping.wto.org/en/Search?viewData= G/SPS/N/RUS/353"," G/SPS/N/RUS/353")</f>
        <v xml:space="preserve"> G/SPS/N/RUS/353</v>
      </c>
      <c r="D32" s="8" t="s">
        <v>243</v>
      </c>
      <c r="E32" s="8" t="s">
        <v>244</v>
      </c>
      <c r="F32" s="8" t="s">
        <v>245</v>
      </c>
      <c r="G32" s="8" t="s">
        <v>246</v>
      </c>
      <c r="H32" s="8" t="s">
        <v>43</v>
      </c>
      <c r="I32" s="8" t="s">
        <v>104</v>
      </c>
      <c r="J32" s="8" t="s">
        <v>43</v>
      </c>
      <c r="K32" s="8" t="s">
        <v>247</v>
      </c>
      <c r="L32" s="6" t="s">
        <v>215</v>
      </c>
      <c r="M32" s="7" t="s">
        <v>43</v>
      </c>
      <c r="N32" s="7"/>
      <c r="O32" s="7">
        <v>46092</v>
      </c>
      <c r="P32" s="6" t="s">
        <v>107</v>
      </c>
      <c r="Q32" s="8" t="s">
        <v>248</v>
      </c>
      <c r="R32" t="str">
        <f>HYPERLINK("https://docs.wto.org/imrd/directdoc.asp?DDFDocuments/t/G/SPS/NRUS353.docx", "https://docs.wto.org/imrd/directdoc.asp?DDFDocuments/t/G/SPS/NRUS353.docx")</f>
        <v>https://docs.wto.org/imrd/directdoc.asp?DDFDocuments/t/G/SPS/NRUS353.docx</v>
      </c>
      <c r="S32" t="str">
        <f>HYPERLINK("https://docs.wto.org/imrd/directdoc.asp?DDFDocuments/u/G/SPS/NRUS353.docx", "https://docs.wto.org/imrd/directdoc.asp?DDFDocuments/u/G/SPS/NRUS353.docx")</f>
        <v>https://docs.wto.org/imrd/directdoc.asp?DDFDocuments/u/G/SPS/NRUS353.docx</v>
      </c>
      <c r="T32" t="str">
        <f>HYPERLINK("https://docs.wto.org/imrd/directdoc.asp?DDFDocuments/v/G/SPS/NRUS353.docx", "https://docs.wto.org/imrd/directdoc.asp?DDFDocuments/v/G/SPS/NRUS353.docx")</f>
        <v>https://docs.wto.org/imrd/directdoc.asp?DDFDocuments/v/G/SPS/NRUS353.docx</v>
      </c>
      <c r="U32" t="s">
        <v>43</v>
      </c>
      <c r="V32" t="s">
        <v>43</v>
      </c>
      <c r="W32" t="s">
        <v>43</v>
      </c>
      <c r="X32" t="s">
        <v>43</v>
      </c>
      <c r="Y32" t="s">
        <v>43</v>
      </c>
      <c r="Z32" t="s">
        <v>43</v>
      </c>
      <c r="AA32" t="s">
        <v>43</v>
      </c>
      <c r="AB32" s="2" t="s">
        <v>43</v>
      </c>
      <c r="AC32" t="s">
        <v>46</v>
      </c>
      <c r="AD32" t="s">
        <v>64</v>
      </c>
      <c r="AE32" t="s">
        <v>46</v>
      </c>
      <c r="AF32" t="s">
        <v>46</v>
      </c>
      <c r="AG32" t="s">
        <v>64</v>
      </c>
      <c r="AH32" s="2" t="s">
        <v>43</v>
      </c>
    </row>
    <row r="33" spans="1:34" ht="75">
      <c r="A33" s="6" t="s">
        <v>249</v>
      </c>
      <c r="B33" s="7">
        <v>46099</v>
      </c>
      <c r="C33" s="9" t="str">
        <f>HYPERLINK("https://eping.wto.org/en/Search?viewData= G/SPS/N/COL/417"," G/SPS/N/COL/417")</f>
        <v xml:space="preserve"> G/SPS/N/COL/417</v>
      </c>
      <c r="D33" s="8" t="s">
        <v>250</v>
      </c>
      <c r="E33" s="8" t="s">
        <v>251</v>
      </c>
      <c r="F33" s="8" t="s">
        <v>252</v>
      </c>
      <c r="G33" s="8" t="s">
        <v>253</v>
      </c>
      <c r="H33" s="8" t="s">
        <v>43</v>
      </c>
      <c r="I33" s="8" t="s">
        <v>254</v>
      </c>
      <c r="J33" s="8" t="s">
        <v>43</v>
      </c>
      <c r="K33" s="8" t="s">
        <v>255</v>
      </c>
      <c r="L33" s="6" t="s">
        <v>256</v>
      </c>
      <c r="M33" s="7">
        <v>46159</v>
      </c>
      <c r="N33" s="7" t="s">
        <v>257</v>
      </c>
      <c r="O33" s="7" t="s">
        <v>257</v>
      </c>
      <c r="P33" s="6" t="s">
        <v>62</v>
      </c>
      <c r="Q33" s="8" t="s">
        <v>258</v>
      </c>
      <c r="R33" t="str">
        <f>HYPERLINK("https://docs.wto.org/imrd/directdoc.asp?DDFDocuments/t/G/SPS/NCOL417.docx", "https://docs.wto.org/imrd/directdoc.asp?DDFDocuments/t/G/SPS/NCOL417.docx")</f>
        <v>https://docs.wto.org/imrd/directdoc.asp?DDFDocuments/t/G/SPS/NCOL417.docx</v>
      </c>
      <c r="S33" t="str">
        <f>HYPERLINK("https://docs.wto.org/imrd/directdoc.asp?DDFDocuments/u/G/SPS/NCOL417.docx", "https://docs.wto.org/imrd/directdoc.asp?DDFDocuments/u/G/SPS/NCOL417.docx")</f>
        <v>https://docs.wto.org/imrd/directdoc.asp?DDFDocuments/u/G/SPS/NCOL417.docx</v>
      </c>
      <c r="T33" t="str">
        <f>HYPERLINK("https://docs.wto.org/imrd/directdoc.asp?DDFDocuments/v/G/SPS/NCOL417.docx", "https://docs.wto.org/imrd/directdoc.asp?DDFDocuments/v/G/SPS/NCOL417.docx")</f>
        <v>https://docs.wto.org/imrd/directdoc.asp?DDFDocuments/v/G/SPS/NCOL417.docx</v>
      </c>
      <c r="U33" t="s">
        <v>43</v>
      </c>
      <c r="V33" t="s">
        <v>43</v>
      </c>
      <c r="W33" t="s">
        <v>43</v>
      </c>
      <c r="X33" t="s">
        <v>43</v>
      </c>
      <c r="Y33" t="s">
        <v>43</v>
      </c>
      <c r="Z33" t="s">
        <v>43</v>
      </c>
      <c r="AA33" t="s">
        <v>43</v>
      </c>
      <c r="AB33" s="2" t="s">
        <v>43</v>
      </c>
      <c r="AC33" t="s">
        <v>46</v>
      </c>
      <c r="AD33" t="s">
        <v>46</v>
      </c>
      <c r="AE33" t="s">
        <v>46</v>
      </c>
      <c r="AF33" t="s">
        <v>64</v>
      </c>
      <c r="AG33" t="s">
        <v>99</v>
      </c>
      <c r="AH33" s="2" t="s">
        <v>43</v>
      </c>
    </row>
    <row r="34" spans="1:34" ht="135">
      <c r="A34" s="6" t="s">
        <v>124</v>
      </c>
      <c r="B34" s="7">
        <v>46099</v>
      </c>
      <c r="C34" s="9" t="str">
        <f>HYPERLINK("https://eping.wto.org/en/Search?viewData= G/TBT/N/KEN/2009"," G/TBT/N/KEN/2009")</f>
        <v xml:space="preserve"> G/TBT/N/KEN/2009</v>
      </c>
      <c r="D34" s="8" t="s">
        <v>259</v>
      </c>
      <c r="E34" s="8" t="s">
        <v>260</v>
      </c>
      <c r="F34" s="8" t="s">
        <v>127</v>
      </c>
      <c r="G34" s="8" t="s">
        <v>43</v>
      </c>
      <c r="H34" s="8" t="s">
        <v>128</v>
      </c>
      <c r="I34" s="8" t="s">
        <v>129</v>
      </c>
      <c r="J34" s="8" t="s">
        <v>43</v>
      </c>
      <c r="K34" s="8" t="s">
        <v>43</v>
      </c>
      <c r="L34" s="6"/>
      <c r="M34" s="7">
        <v>46159</v>
      </c>
      <c r="N34" s="7" t="s">
        <v>79</v>
      </c>
      <c r="O34" s="7" t="s">
        <v>79</v>
      </c>
      <c r="P34" s="6" t="s">
        <v>62</v>
      </c>
      <c r="Q34" s="8" t="s">
        <v>261</v>
      </c>
      <c r="R34" t="str">
        <f>HYPERLINK("https://docs.wto.org/imrd/directdoc.asp?DDFDocuments/t/G/TBTN26/KEN2009.docx", "https://docs.wto.org/imrd/directdoc.asp?DDFDocuments/t/G/TBTN26/KEN2009.docx")</f>
        <v>https://docs.wto.org/imrd/directdoc.asp?DDFDocuments/t/G/TBTN26/KEN2009.docx</v>
      </c>
      <c r="S34" t="str">
        <f>HYPERLINK("https://docs.wto.org/imrd/directdoc.asp?DDFDocuments/u/G/TBTN26/KEN2009.docx", "https://docs.wto.org/imrd/directdoc.asp?DDFDocuments/u/G/TBTN26/KEN2009.docx")</f>
        <v>https://docs.wto.org/imrd/directdoc.asp?DDFDocuments/u/G/TBTN26/KEN2009.docx</v>
      </c>
      <c r="T34" t="str">
        <f>HYPERLINK("https://docs.wto.org/imrd/directdoc.asp?DDFDocuments/v/G/TBTN26/KEN2009.docx", "https://docs.wto.org/imrd/directdoc.asp?DDFDocuments/v/G/TBTN26/KEN2009.docx")</f>
        <v>https://docs.wto.org/imrd/directdoc.asp?DDFDocuments/v/G/TBTN26/KEN2009.docx</v>
      </c>
      <c r="U34" t="s">
        <v>64</v>
      </c>
      <c r="V34" t="s">
        <v>46</v>
      </c>
      <c r="W34" t="s">
        <v>46</v>
      </c>
      <c r="X34" t="s">
        <v>46</v>
      </c>
      <c r="Y34" t="s">
        <v>46</v>
      </c>
      <c r="Z34" t="s">
        <v>46</v>
      </c>
      <c r="AA34" t="s">
        <v>46</v>
      </c>
      <c r="AB34" s="2" t="s">
        <v>262</v>
      </c>
      <c r="AC34" t="s">
        <v>43</v>
      </c>
      <c r="AD34" t="s">
        <v>43</v>
      </c>
      <c r="AE34" t="s">
        <v>43</v>
      </c>
      <c r="AF34" t="s">
        <v>43</v>
      </c>
      <c r="AG34" t="s">
        <v>43</v>
      </c>
      <c r="AH34" s="2" t="s">
        <v>43</v>
      </c>
    </row>
    <row r="35" spans="1:34" ht="409.5">
      <c r="A35" s="6" t="s">
        <v>124</v>
      </c>
      <c r="B35" s="7">
        <v>46099</v>
      </c>
      <c r="C35" s="9" t="str">
        <f>HYPERLINK("https://eping.wto.org/en/Search?viewData= G/TBT/N/KEN/2003"," G/TBT/N/KEN/2003")</f>
        <v xml:space="preserve"> G/TBT/N/KEN/2003</v>
      </c>
      <c r="D35" s="8" t="s">
        <v>263</v>
      </c>
      <c r="E35" s="8" t="s">
        <v>264</v>
      </c>
      <c r="F35" s="8" t="s">
        <v>265</v>
      </c>
      <c r="G35" s="8" t="s">
        <v>43</v>
      </c>
      <c r="H35" s="8" t="s">
        <v>266</v>
      </c>
      <c r="I35" s="8" t="s">
        <v>181</v>
      </c>
      <c r="J35" s="8" t="s">
        <v>43</v>
      </c>
      <c r="K35" s="8" t="s">
        <v>43</v>
      </c>
      <c r="L35" s="6"/>
      <c r="M35" s="7">
        <v>46159</v>
      </c>
      <c r="N35" s="7" t="s">
        <v>182</v>
      </c>
      <c r="O35" s="7" t="s">
        <v>79</v>
      </c>
      <c r="P35" s="6" t="s">
        <v>62</v>
      </c>
      <c r="Q35" s="8" t="s">
        <v>267</v>
      </c>
      <c r="R35" t="str">
        <f>HYPERLINK("https://docs.wto.org/imrd/directdoc.asp?DDFDocuments/t/G/TBTN26/KEN2003.docx", "https://docs.wto.org/imrd/directdoc.asp?DDFDocuments/t/G/TBTN26/KEN2003.docx")</f>
        <v>https://docs.wto.org/imrd/directdoc.asp?DDFDocuments/t/G/TBTN26/KEN2003.docx</v>
      </c>
      <c r="S35" t="str">
        <f>HYPERLINK("https://docs.wto.org/imrd/directdoc.asp?DDFDocuments/u/G/TBTN26/KEN2003.docx", "https://docs.wto.org/imrd/directdoc.asp?DDFDocuments/u/G/TBTN26/KEN2003.docx")</f>
        <v>https://docs.wto.org/imrd/directdoc.asp?DDFDocuments/u/G/TBTN26/KEN2003.docx</v>
      </c>
      <c r="T35" t="str">
        <f>HYPERLINK("https://docs.wto.org/imrd/directdoc.asp?DDFDocuments/v/G/TBTN26/KEN2003.docx", "https://docs.wto.org/imrd/directdoc.asp?DDFDocuments/v/G/TBTN26/KEN2003.docx")</f>
        <v>https://docs.wto.org/imrd/directdoc.asp?DDFDocuments/v/G/TBTN26/KEN2003.docx</v>
      </c>
      <c r="U35" t="s">
        <v>64</v>
      </c>
      <c r="V35" t="s">
        <v>46</v>
      </c>
      <c r="W35" t="s">
        <v>46</v>
      </c>
      <c r="X35" t="s">
        <v>46</v>
      </c>
      <c r="Y35" t="s">
        <v>46</v>
      </c>
      <c r="Z35" t="s">
        <v>46</v>
      </c>
      <c r="AA35" t="s">
        <v>46</v>
      </c>
      <c r="AB35" s="2" t="s">
        <v>268</v>
      </c>
      <c r="AC35" t="s">
        <v>43</v>
      </c>
      <c r="AD35" t="s">
        <v>43</v>
      </c>
      <c r="AE35" t="s">
        <v>43</v>
      </c>
      <c r="AF35" t="s">
        <v>43</v>
      </c>
      <c r="AG35" t="s">
        <v>43</v>
      </c>
      <c r="AH35" s="2" t="s">
        <v>43</v>
      </c>
    </row>
    <row r="36" spans="1:34" ht="285">
      <c r="A36" s="6" t="s">
        <v>269</v>
      </c>
      <c r="B36" s="7">
        <v>46099</v>
      </c>
      <c r="C36" s="9" t="str">
        <f>HYPERLINK("https://eping.wto.org/en/Search?viewData= G/TBT/N/IDN/185"," G/TBT/N/IDN/185")</f>
        <v xml:space="preserve"> G/TBT/N/IDN/185</v>
      </c>
      <c r="D36" s="8" t="s">
        <v>270</v>
      </c>
      <c r="E36" s="8" t="s">
        <v>271</v>
      </c>
      <c r="F36" s="8" t="s">
        <v>272</v>
      </c>
      <c r="G36" s="8" t="s">
        <v>273</v>
      </c>
      <c r="H36" s="8" t="s">
        <v>274</v>
      </c>
      <c r="I36" s="8" t="s">
        <v>275</v>
      </c>
      <c r="J36" s="8" t="s">
        <v>276</v>
      </c>
      <c r="K36" s="8" t="s">
        <v>240</v>
      </c>
      <c r="L36" s="6"/>
      <c r="M36" s="7">
        <v>46159</v>
      </c>
      <c r="N36" s="7">
        <v>45971</v>
      </c>
      <c r="O36" s="7">
        <v>45971</v>
      </c>
      <c r="P36" s="6" t="s">
        <v>62</v>
      </c>
      <c r="Q36" s="8" t="s">
        <v>277</v>
      </c>
      <c r="R36" t="str">
        <f>HYPERLINK("https://docs.wto.org/imrd/directdoc.asp?DDFDocuments/t/G/TBTN26/IDN185.docx", "https://docs.wto.org/imrd/directdoc.asp?DDFDocuments/t/G/TBTN26/IDN185.docx")</f>
        <v>https://docs.wto.org/imrd/directdoc.asp?DDFDocuments/t/G/TBTN26/IDN185.docx</v>
      </c>
      <c r="S36" t="str">
        <f>HYPERLINK("https://docs.wto.org/imrd/directdoc.asp?DDFDocuments/u/G/TBTN26/IDN185.docx", "https://docs.wto.org/imrd/directdoc.asp?DDFDocuments/u/G/TBTN26/IDN185.docx")</f>
        <v>https://docs.wto.org/imrd/directdoc.asp?DDFDocuments/u/G/TBTN26/IDN185.docx</v>
      </c>
      <c r="T36" t="str">
        <f>HYPERLINK("https://docs.wto.org/imrd/directdoc.asp?DDFDocuments/v/G/TBTN26/IDN185.docx", "https://docs.wto.org/imrd/directdoc.asp?DDFDocuments/v/G/TBTN26/IDN185.docx")</f>
        <v>https://docs.wto.org/imrd/directdoc.asp?DDFDocuments/v/G/TBTN26/IDN185.docx</v>
      </c>
      <c r="U36" t="s">
        <v>64</v>
      </c>
      <c r="V36" t="s">
        <v>46</v>
      </c>
      <c r="W36" t="s">
        <v>64</v>
      </c>
      <c r="X36" t="s">
        <v>46</v>
      </c>
      <c r="Y36" t="s">
        <v>46</v>
      </c>
      <c r="Z36" t="s">
        <v>46</v>
      </c>
      <c r="AA36" t="s">
        <v>46</v>
      </c>
      <c r="AB36" s="2" t="s">
        <v>278</v>
      </c>
      <c r="AC36" t="s">
        <v>43</v>
      </c>
      <c r="AD36" t="s">
        <v>43</v>
      </c>
      <c r="AE36" t="s">
        <v>43</v>
      </c>
      <c r="AF36" t="s">
        <v>43</v>
      </c>
      <c r="AG36" t="s">
        <v>43</v>
      </c>
      <c r="AH36" s="2" t="s">
        <v>43</v>
      </c>
    </row>
    <row r="37" spans="1:34" ht="60">
      <c r="A37" s="6" t="s">
        <v>124</v>
      </c>
      <c r="B37" s="7">
        <v>46099</v>
      </c>
      <c r="C37" s="9" t="str">
        <f>HYPERLINK("https://eping.wto.org/en/Search?viewData= G/TBT/N/KEN/2006"," G/TBT/N/KEN/2006")</f>
        <v xml:space="preserve"> G/TBT/N/KEN/2006</v>
      </c>
      <c r="D37" s="8" t="s">
        <v>279</v>
      </c>
      <c r="E37" s="8" t="s">
        <v>280</v>
      </c>
      <c r="F37" s="8" t="s">
        <v>237</v>
      </c>
      <c r="G37" s="8" t="s">
        <v>43</v>
      </c>
      <c r="H37" s="8" t="s">
        <v>238</v>
      </c>
      <c r="I37" s="8" t="s">
        <v>281</v>
      </c>
      <c r="J37" s="8" t="s">
        <v>43</v>
      </c>
      <c r="K37" s="8" t="s">
        <v>240</v>
      </c>
      <c r="L37" s="6"/>
      <c r="M37" s="7">
        <v>46159</v>
      </c>
      <c r="N37" s="7" t="s">
        <v>79</v>
      </c>
      <c r="O37" s="7" t="s">
        <v>79</v>
      </c>
      <c r="P37" s="6" t="s">
        <v>62</v>
      </c>
      <c r="Q37" s="8" t="s">
        <v>282</v>
      </c>
      <c r="R37" t="str">
        <f>HYPERLINK("https://docs.wto.org/imrd/directdoc.asp?DDFDocuments/t/G/TBTN26/KEN2006.docx", "https://docs.wto.org/imrd/directdoc.asp?DDFDocuments/t/G/TBTN26/KEN2006.docx")</f>
        <v>https://docs.wto.org/imrd/directdoc.asp?DDFDocuments/t/G/TBTN26/KEN2006.docx</v>
      </c>
      <c r="S37" t="str">
        <f>HYPERLINK("https://docs.wto.org/imrd/directdoc.asp?DDFDocuments/u/G/TBTN26/KEN2006.docx", "https://docs.wto.org/imrd/directdoc.asp?DDFDocuments/u/G/TBTN26/KEN2006.docx")</f>
        <v>https://docs.wto.org/imrd/directdoc.asp?DDFDocuments/u/G/TBTN26/KEN2006.docx</v>
      </c>
      <c r="T37" t="str">
        <f>HYPERLINK("https://docs.wto.org/imrd/directdoc.asp?DDFDocuments/v/G/TBTN26/KEN2006.docx", "https://docs.wto.org/imrd/directdoc.asp?DDFDocuments/v/G/TBTN26/KEN2006.docx")</f>
        <v>https://docs.wto.org/imrd/directdoc.asp?DDFDocuments/v/G/TBTN26/KEN2006.docx</v>
      </c>
      <c r="U37" t="s">
        <v>64</v>
      </c>
      <c r="V37" t="s">
        <v>46</v>
      </c>
      <c r="W37" t="s">
        <v>64</v>
      </c>
      <c r="X37" t="s">
        <v>46</v>
      </c>
      <c r="Y37" t="s">
        <v>46</v>
      </c>
      <c r="Z37" t="s">
        <v>46</v>
      </c>
      <c r="AA37" t="s">
        <v>46</v>
      </c>
      <c r="AB37" s="2" t="s">
        <v>283</v>
      </c>
      <c r="AC37" t="s">
        <v>43</v>
      </c>
      <c r="AD37" t="s">
        <v>43</v>
      </c>
      <c r="AE37" t="s">
        <v>43</v>
      </c>
      <c r="AF37" t="s">
        <v>43</v>
      </c>
      <c r="AG37" t="s">
        <v>43</v>
      </c>
      <c r="AH37" s="2" t="s">
        <v>43</v>
      </c>
    </row>
    <row r="38" spans="1:34" ht="60">
      <c r="A38" s="6" t="s">
        <v>82</v>
      </c>
      <c r="B38" s="7">
        <v>46099</v>
      </c>
      <c r="C38" s="9" t="str">
        <f>HYPERLINK("https://eping.wto.org/en/Search?viewData= G/TBT/N/JPN/888/Add.1"," G/TBT/N/JPN/888/Add.1")</f>
        <v xml:space="preserve"> G/TBT/N/JPN/888/Add.1</v>
      </c>
      <c r="D38" s="8" t="s">
        <v>284</v>
      </c>
      <c r="E38" s="8" t="s">
        <v>285</v>
      </c>
      <c r="F38" s="8" t="s">
        <v>286</v>
      </c>
      <c r="G38" s="8" t="s">
        <v>43</v>
      </c>
      <c r="H38" s="8" t="s">
        <v>43</v>
      </c>
      <c r="I38" s="8" t="s">
        <v>52</v>
      </c>
      <c r="J38" s="8" t="s">
        <v>287</v>
      </c>
      <c r="K38" s="8" t="s">
        <v>43</v>
      </c>
      <c r="L38" s="6"/>
      <c r="M38" s="7" t="s">
        <v>43</v>
      </c>
      <c r="N38" s="7"/>
      <c r="O38" s="7"/>
      <c r="P38" s="6" t="s">
        <v>44</v>
      </c>
      <c r="Q38" s="8" t="s">
        <v>288</v>
      </c>
      <c r="R38" t="str">
        <f>HYPERLINK("https://docs.wto.org/imrd/directdoc.asp?DDFDocuments/t/G/TBTN25/JPN888A1.docx", "https://docs.wto.org/imrd/directdoc.asp?DDFDocuments/t/G/TBTN25/JPN888A1.docx")</f>
        <v>https://docs.wto.org/imrd/directdoc.asp?DDFDocuments/t/G/TBTN25/JPN888A1.docx</v>
      </c>
      <c r="S38" t="str">
        <f>HYPERLINK("https://docs.wto.org/imrd/directdoc.asp?DDFDocuments/u/G/TBTN25/JPN888A1.docx", "https://docs.wto.org/imrd/directdoc.asp?DDFDocuments/u/G/TBTN25/JPN888A1.docx")</f>
        <v>https://docs.wto.org/imrd/directdoc.asp?DDFDocuments/u/G/TBTN25/JPN888A1.docx</v>
      </c>
      <c r="T38" t="str">
        <f>HYPERLINK("https://docs.wto.org/imrd/directdoc.asp?DDFDocuments/v/G/TBTN25/JPN888A1.docx", "https://docs.wto.org/imrd/directdoc.asp?DDFDocuments/v/G/TBTN25/JPN888A1.docx")</f>
        <v>https://docs.wto.org/imrd/directdoc.asp?DDFDocuments/v/G/TBTN25/JPN888A1.docx</v>
      </c>
      <c r="U38" t="s">
        <v>46</v>
      </c>
      <c r="V38" t="s">
        <v>46</v>
      </c>
      <c r="W38" t="s">
        <v>46</v>
      </c>
      <c r="X38" t="s">
        <v>46</v>
      </c>
      <c r="Y38" t="s">
        <v>46</v>
      </c>
      <c r="Z38" t="s">
        <v>46</v>
      </c>
      <c r="AA38" t="s">
        <v>46</v>
      </c>
      <c r="AB38" s="2" t="s">
        <v>43</v>
      </c>
      <c r="AC38" t="s">
        <v>43</v>
      </c>
      <c r="AD38" t="s">
        <v>43</v>
      </c>
      <c r="AE38" t="s">
        <v>43</v>
      </c>
      <c r="AF38" t="s">
        <v>43</v>
      </c>
      <c r="AG38" t="s">
        <v>43</v>
      </c>
      <c r="AH38" s="2" t="s">
        <v>43</v>
      </c>
    </row>
    <row r="39" spans="1:34" ht="30">
      <c r="A39" s="6" t="s">
        <v>289</v>
      </c>
      <c r="B39" s="7">
        <v>46099</v>
      </c>
      <c r="C39" s="9" t="str">
        <f>HYPERLINK("https://eping.wto.org/en/Search?viewData= G/TBT/N/BRA/1625/Corr.1"," G/TBT/N/BRA/1625/Corr.1")</f>
        <v xml:space="preserve"> G/TBT/N/BRA/1625/Corr.1</v>
      </c>
      <c r="D39" s="8" t="s">
        <v>290</v>
      </c>
      <c r="E39" s="8" t="s">
        <v>291</v>
      </c>
      <c r="F39" s="8" t="s">
        <v>292</v>
      </c>
      <c r="G39" s="8" t="s">
        <v>293</v>
      </c>
      <c r="H39" s="8" t="s">
        <v>294</v>
      </c>
      <c r="I39" s="8" t="s">
        <v>295</v>
      </c>
      <c r="J39" s="8" t="s">
        <v>43</v>
      </c>
      <c r="K39" s="8" t="s">
        <v>43</v>
      </c>
      <c r="L39" s="6"/>
      <c r="M39" s="7" t="s">
        <v>43</v>
      </c>
      <c r="N39" s="7"/>
      <c r="O39" s="7"/>
      <c r="P39" s="6" t="s">
        <v>296</v>
      </c>
      <c r="Q39" s="8" t="s">
        <v>297</v>
      </c>
      <c r="R39" t="str">
        <f>HYPERLINK("https://docs.wto.org/imrd/directdoc.asp?DDFDocuments/t/G/TBTN26/BRA1625C1.docx", "https://docs.wto.org/imrd/directdoc.asp?DDFDocuments/t/G/TBTN26/BRA1625C1.docx")</f>
        <v>https://docs.wto.org/imrd/directdoc.asp?DDFDocuments/t/G/TBTN26/BRA1625C1.docx</v>
      </c>
      <c r="S39" t="str">
        <f>HYPERLINK("https://docs.wto.org/imrd/directdoc.asp?DDFDocuments/u/G/TBTN26/BRA1625C1.docx", "https://docs.wto.org/imrd/directdoc.asp?DDFDocuments/u/G/TBTN26/BRA1625C1.docx")</f>
        <v>https://docs.wto.org/imrd/directdoc.asp?DDFDocuments/u/G/TBTN26/BRA1625C1.docx</v>
      </c>
      <c r="T39" t="str">
        <f>HYPERLINK("https://docs.wto.org/imrd/directdoc.asp?DDFDocuments/v/G/TBTN26/BRA1625C1.docx", "https://docs.wto.org/imrd/directdoc.asp?DDFDocuments/v/G/TBTN26/BRA1625C1.docx")</f>
        <v>https://docs.wto.org/imrd/directdoc.asp?DDFDocuments/v/G/TBTN26/BRA1625C1.docx</v>
      </c>
      <c r="U39" t="s">
        <v>46</v>
      </c>
      <c r="V39" t="s">
        <v>46</v>
      </c>
      <c r="W39" t="s">
        <v>46</v>
      </c>
      <c r="X39" t="s">
        <v>46</v>
      </c>
      <c r="Y39" t="s">
        <v>46</v>
      </c>
      <c r="Z39" t="s">
        <v>46</v>
      </c>
      <c r="AA39" t="s">
        <v>46</v>
      </c>
      <c r="AB39" s="2" t="s">
        <v>43</v>
      </c>
      <c r="AC39" t="s">
        <v>43</v>
      </c>
      <c r="AD39" t="s">
        <v>43</v>
      </c>
      <c r="AE39" t="s">
        <v>43</v>
      </c>
      <c r="AF39" t="s">
        <v>43</v>
      </c>
      <c r="AG39" t="s">
        <v>43</v>
      </c>
      <c r="AH39" s="2" t="s">
        <v>43</v>
      </c>
    </row>
    <row r="40" spans="1:34" ht="135">
      <c r="A40" s="6" t="s">
        <v>132</v>
      </c>
      <c r="B40" s="7">
        <v>46098</v>
      </c>
      <c r="C40" s="9" t="str">
        <f>HYPERLINK("https://eping.wto.org/en/Search?viewData= G/SPS/N/USA/3565"," G/SPS/N/USA/3565")</f>
        <v xml:space="preserve"> G/SPS/N/USA/3565</v>
      </c>
      <c r="D40" s="8" t="s">
        <v>298</v>
      </c>
      <c r="E40" s="8" t="s">
        <v>299</v>
      </c>
      <c r="F40" s="8" t="s">
        <v>300</v>
      </c>
      <c r="G40" s="8" t="s">
        <v>301</v>
      </c>
      <c r="H40" s="8" t="s">
        <v>43</v>
      </c>
      <c r="I40" s="8" t="s">
        <v>254</v>
      </c>
      <c r="J40" s="8" t="s">
        <v>43</v>
      </c>
      <c r="K40" s="8" t="s">
        <v>302</v>
      </c>
      <c r="L40" s="6" t="s">
        <v>303</v>
      </c>
      <c r="M40" s="7">
        <v>46154</v>
      </c>
      <c r="N40" s="7" t="s">
        <v>304</v>
      </c>
      <c r="O40" s="7" t="s">
        <v>304</v>
      </c>
      <c r="P40" s="6" t="s">
        <v>62</v>
      </c>
      <c r="Q40" s="8" t="s">
        <v>305</v>
      </c>
      <c r="R40" t="str">
        <f>HYPERLINK("https://docs.wto.org/imrd/directdoc.asp?DDFDocuments/t/G/SPS/NUSA3565.docx", "https://docs.wto.org/imrd/directdoc.asp?DDFDocuments/t/G/SPS/NUSA3565.docx")</f>
        <v>https://docs.wto.org/imrd/directdoc.asp?DDFDocuments/t/G/SPS/NUSA3565.docx</v>
      </c>
      <c r="S40" t="str">
        <f>HYPERLINK("https://docs.wto.org/imrd/directdoc.asp?DDFDocuments/u/G/SPS/NUSA3565.docx", "https://docs.wto.org/imrd/directdoc.asp?DDFDocuments/u/G/SPS/NUSA3565.docx")</f>
        <v>https://docs.wto.org/imrd/directdoc.asp?DDFDocuments/u/G/SPS/NUSA3565.docx</v>
      </c>
      <c r="T40" t="str">
        <f>HYPERLINK("https://docs.wto.org/imrd/directdoc.asp?DDFDocuments/v/G/SPS/NUSA3565.docx", "https://docs.wto.org/imrd/directdoc.asp?DDFDocuments/v/G/SPS/NUSA3565.docx")</f>
        <v>https://docs.wto.org/imrd/directdoc.asp?DDFDocuments/v/G/SPS/NUSA3565.docx</v>
      </c>
      <c r="U40" t="s">
        <v>43</v>
      </c>
      <c r="V40" t="s">
        <v>43</v>
      </c>
      <c r="W40" t="s">
        <v>43</v>
      </c>
      <c r="X40" t="s">
        <v>43</v>
      </c>
      <c r="Y40" t="s">
        <v>43</v>
      </c>
      <c r="Z40" t="s">
        <v>43</v>
      </c>
      <c r="AA40" t="s">
        <v>43</v>
      </c>
      <c r="AB40" s="2" t="s">
        <v>43</v>
      </c>
      <c r="AC40" t="s">
        <v>46</v>
      </c>
      <c r="AD40" t="s">
        <v>46</v>
      </c>
      <c r="AE40" t="s">
        <v>46</v>
      </c>
      <c r="AF40" t="s">
        <v>64</v>
      </c>
      <c r="AG40" t="s">
        <v>99</v>
      </c>
      <c r="AH40" s="2" t="s">
        <v>43</v>
      </c>
    </row>
    <row r="41" spans="1:34" ht="45">
      <c r="A41" s="6" t="s">
        <v>306</v>
      </c>
      <c r="B41" s="7">
        <v>46098</v>
      </c>
      <c r="C41" s="9" t="str">
        <f>HYPERLINK("https://eping.wto.org/en/Search?viewData= G/SPS/N/NPL/50"," G/SPS/N/NPL/50")</f>
        <v xml:space="preserve"> G/SPS/N/NPL/50</v>
      </c>
      <c r="D41" s="8" t="s">
        <v>307</v>
      </c>
      <c r="E41" s="8" t="s">
        <v>308</v>
      </c>
      <c r="F41" s="8" t="s">
        <v>309</v>
      </c>
      <c r="G41" s="8" t="s">
        <v>43</v>
      </c>
      <c r="H41" s="8" t="s">
        <v>43</v>
      </c>
      <c r="I41" s="8" t="s">
        <v>58</v>
      </c>
      <c r="J41" s="8" t="s">
        <v>43</v>
      </c>
      <c r="K41" s="8" t="s">
        <v>310</v>
      </c>
      <c r="L41" s="6" t="s">
        <v>43</v>
      </c>
      <c r="M41" s="7">
        <v>46158</v>
      </c>
      <c r="N41" s="7" t="s">
        <v>311</v>
      </c>
      <c r="O41" s="7" t="s">
        <v>312</v>
      </c>
      <c r="P41" s="6" t="s">
        <v>62</v>
      </c>
      <c r="Q41" s="8" t="s">
        <v>313</v>
      </c>
      <c r="R41" t="str">
        <f>HYPERLINK("https://docs.wto.org/imrd/directdoc.asp?DDFDocuments/t/G/SPS/NNPL50.docx", "https://docs.wto.org/imrd/directdoc.asp?DDFDocuments/t/G/SPS/NNPL50.docx")</f>
        <v>https://docs.wto.org/imrd/directdoc.asp?DDFDocuments/t/G/SPS/NNPL50.docx</v>
      </c>
      <c r="S41" t="str">
        <f>HYPERLINK("https://docs.wto.org/imrd/directdoc.asp?DDFDocuments/u/G/SPS/NNPL50.docx", "https://docs.wto.org/imrd/directdoc.asp?DDFDocuments/u/G/SPS/NNPL50.docx")</f>
        <v>https://docs.wto.org/imrd/directdoc.asp?DDFDocuments/u/G/SPS/NNPL50.docx</v>
      </c>
      <c r="T41" t="str">
        <f>HYPERLINK("https://docs.wto.org/imrd/directdoc.asp?DDFDocuments/v/G/SPS/NNPL50.docx", "https://docs.wto.org/imrd/directdoc.asp?DDFDocuments/v/G/SPS/NNPL50.docx")</f>
        <v>https://docs.wto.org/imrd/directdoc.asp?DDFDocuments/v/G/SPS/NNPL50.docx</v>
      </c>
      <c r="U41" t="s">
        <v>43</v>
      </c>
      <c r="V41" t="s">
        <v>43</v>
      </c>
      <c r="W41" t="s">
        <v>43</v>
      </c>
      <c r="X41" t="s">
        <v>43</v>
      </c>
      <c r="Y41" t="s">
        <v>43</v>
      </c>
      <c r="Z41" t="s">
        <v>43</v>
      </c>
      <c r="AA41" t="s">
        <v>43</v>
      </c>
      <c r="AB41" s="2" t="s">
        <v>43</v>
      </c>
      <c r="AC41" t="s">
        <v>46</v>
      </c>
      <c r="AD41" t="s">
        <v>46</v>
      </c>
      <c r="AE41" t="s">
        <v>46</v>
      </c>
      <c r="AF41" t="s">
        <v>64</v>
      </c>
      <c r="AG41" t="s">
        <v>99</v>
      </c>
      <c r="AH41" s="2" t="s">
        <v>43</v>
      </c>
    </row>
    <row r="42" spans="1:34" ht="90">
      <c r="A42" s="6" t="s">
        <v>89</v>
      </c>
      <c r="B42" s="7">
        <v>46098</v>
      </c>
      <c r="C42" s="9" t="str">
        <f>HYPERLINK("https://eping.wto.org/en/Search?viewData= G/SPS/N/CRI/347/Add.1"," G/SPS/N/CRI/347/Add.1")</f>
        <v xml:space="preserve"> G/SPS/N/CRI/347/Add.1</v>
      </c>
      <c r="D42" s="8" t="s">
        <v>314</v>
      </c>
      <c r="E42" s="8" t="s">
        <v>314</v>
      </c>
      <c r="F42" s="8" t="s">
        <v>315</v>
      </c>
      <c r="G42" s="8" t="s">
        <v>316</v>
      </c>
      <c r="H42" s="8" t="s">
        <v>43</v>
      </c>
      <c r="I42" s="8" t="s">
        <v>94</v>
      </c>
      <c r="J42" s="8" t="s">
        <v>43</v>
      </c>
      <c r="K42" s="8" t="s">
        <v>175</v>
      </c>
      <c r="L42" s="6"/>
      <c r="M42" s="7" t="s">
        <v>43</v>
      </c>
      <c r="N42" s="7"/>
      <c r="O42" s="7"/>
      <c r="P42" s="6" t="s">
        <v>44</v>
      </c>
      <c r="Q42" s="8" t="s">
        <v>317</v>
      </c>
      <c r="R42" t="str">
        <f>HYPERLINK("https://docs.wto.org/imrd/directdoc.asp?DDFDocuments/t/G/SPS/NCRI347A1.docx", "https://docs.wto.org/imrd/directdoc.asp?DDFDocuments/t/G/SPS/NCRI347A1.docx")</f>
        <v>https://docs.wto.org/imrd/directdoc.asp?DDFDocuments/t/G/SPS/NCRI347A1.docx</v>
      </c>
      <c r="S42" t="str">
        <f>HYPERLINK("https://docs.wto.org/imrd/directdoc.asp?DDFDocuments/u/G/SPS/NCRI347A1.docx", "https://docs.wto.org/imrd/directdoc.asp?DDFDocuments/u/G/SPS/NCRI347A1.docx")</f>
        <v>https://docs.wto.org/imrd/directdoc.asp?DDFDocuments/u/G/SPS/NCRI347A1.docx</v>
      </c>
      <c r="T42" t="str">
        <f>HYPERLINK("https://docs.wto.org/imrd/directdoc.asp?DDFDocuments/v/G/SPS/NCRI347A1.docx", "https://docs.wto.org/imrd/directdoc.asp?DDFDocuments/v/G/SPS/NCRI347A1.docx")</f>
        <v>https://docs.wto.org/imrd/directdoc.asp?DDFDocuments/v/G/SPS/NCRI347A1.docx</v>
      </c>
      <c r="U42" t="s">
        <v>43</v>
      </c>
      <c r="V42" t="s">
        <v>43</v>
      </c>
      <c r="W42" t="s">
        <v>43</v>
      </c>
      <c r="X42" t="s">
        <v>43</v>
      </c>
      <c r="Y42" t="s">
        <v>43</v>
      </c>
      <c r="Z42" t="s">
        <v>43</v>
      </c>
      <c r="AA42" t="s">
        <v>43</v>
      </c>
      <c r="AB42" s="2" t="s">
        <v>43</v>
      </c>
      <c r="AC42" t="s">
        <v>43</v>
      </c>
      <c r="AD42" t="s">
        <v>43</v>
      </c>
      <c r="AE42" t="s">
        <v>43</v>
      </c>
      <c r="AF42" t="s">
        <v>43</v>
      </c>
      <c r="AG42" t="s">
        <v>43</v>
      </c>
      <c r="AH42" s="2" t="s">
        <v>43</v>
      </c>
    </row>
    <row r="43" spans="1:34" ht="210">
      <c r="A43" s="6" t="s">
        <v>132</v>
      </c>
      <c r="B43" s="7">
        <v>46098</v>
      </c>
      <c r="C43" s="9" t="str">
        <f>HYPERLINK("https://eping.wto.org/en/Search?viewData= G/TBT/N/USA/2265"," G/TBT/N/USA/2265")</f>
        <v xml:space="preserve"> G/TBT/N/USA/2265</v>
      </c>
      <c r="D43" s="8" t="s">
        <v>318</v>
      </c>
      <c r="E43" s="8" t="s">
        <v>319</v>
      </c>
      <c r="F43" s="8" t="s">
        <v>320</v>
      </c>
      <c r="G43" s="8" t="s">
        <v>43</v>
      </c>
      <c r="H43" s="8" t="s">
        <v>321</v>
      </c>
      <c r="I43" s="8" t="s">
        <v>322</v>
      </c>
      <c r="J43" s="8" t="s">
        <v>43</v>
      </c>
      <c r="K43" s="8" t="s">
        <v>43</v>
      </c>
      <c r="L43" s="6"/>
      <c r="M43" s="7">
        <v>46127</v>
      </c>
      <c r="N43" s="7" t="s">
        <v>79</v>
      </c>
      <c r="O43" s="7" t="s">
        <v>79</v>
      </c>
      <c r="P43" s="6" t="s">
        <v>62</v>
      </c>
      <c r="Q43" s="8" t="s">
        <v>323</v>
      </c>
      <c r="R43" t="str">
        <f>HYPERLINK("https://docs.wto.org/imrd/directdoc.asp?DDFDocuments/t/G/TBTN26/USA2265.docx", "https://docs.wto.org/imrd/directdoc.asp?DDFDocuments/t/G/TBTN26/USA2265.docx")</f>
        <v>https://docs.wto.org/imrd/directdoc.asp?DDFDocuments/t/G/TBTN26/USA2265.docx</v>
      </c>
      <c r="S43" t="str">
        <f>HYPERLINK("https://docs.wto.org/imrd/directdoc.asp?DDFDocuments/u/G/TBTN26/USA2265.docx", "https://docs.wto.org/imrd/directdoc.asp?DDFDocuments/u/G/TBTN26/USA2265.docx")</f>
        <v>https://docs.wto.org/imrd/directdoc.asp?DDFDocuments/u/G/TBTN26/USA2265.docx</v>
      </c>
      <c r="T43" t="str">
        <f>HYPERLINK("https://docs.wto.org/imrd/directdoc.asp?DDFDocuments/v/G/TBTN26/USA2265.docx", "https://docs.wto.org/imrd/directdoc.asp?DDFDocuments/v/G/TBTN26/USA2265.docx")</f>
        <v>https://docs.wto.org/imrd/directdoc.asp?DDFDocuments/v/G/TBTN26/USA2265.docx</v>
      </c>
      <c r="U43" t="s">
        <v>64</v>
      </c>
      <c r="V43" t="s">
        <v>46</v>
      </c>
      <c r="W43" t="s">
        <v>46</v>
      </c>
      <c r="X43" t="s">
        <v>46</v>
      </c>
      <c r="Y43" t="s">
        <v>46</v>
      </c>
      <c r="Z43" t="s">
        <v>46</v>
      </c>
      <c r="AA43" t="s">
        <v>46</v>
      </c>
      <c r="AB43" s="2" t="s">
        <v>324</v>
      </c>
      <c r="AC43" t="s">
        <v>43</v>
      </c>
      <c r="AD43" t="s">
        <v>43</v>
      </c>
      <c r="AE43" t="s">
        <v>43</v>
      </c>
      <c r="AF43" t="s">
        <v>43</v>
      </c>
      <c r="AG43" t="s">
        <v>43</v>
      </c>
      <c r="AH43" s="2" t="s">
        <v>43</v>
      </c>
    </row>
    <row r="44" spans="1:34" ht="45">
      <c r="A44" s="6" t="s">
        <v>325</v>
      </c>
      <c r="B44" s="7">
        <v>46098</v>
      </c>
      <c r="C44" s="9" t="str">
        <f>HYPERLINK("https://eping.wto.org/en/Search?viewData= G/TBT/N/TPKM/575/Add.1"," G/TBT/N/TPKM/575/Add.1")</f>
        <v xml:space="preserve"> G/TBT/N/TPKM/575/Add.1</v>
      </c>
      <c r="D44" s="8" t="s">
        <v>326</v>
      </c>
      <c r="E44" s="8" t="s">
        <v>327</v>
      </c>
      <c r="F44" s="8" t="s">
        <v>328</v>
      </c>
      <c r="G44" s="8" t="s">
        <v>329</v>
      </c>
      <c r="H44" s="8" t="s">
        <v>330</v>
      </c>
      <c r="I44" s="8" t="s">
        <v>137</v>
      </c>
      <c r="J44" s="8" t="s">
        <v>43</v>
      </c>
      <c r="K44" s="8" t="s">
        <v>43</v>
      </c>
      <c r="L44" s="6"/>
      <c r="M44" s="7" t="s">
        <v>43</v>
      </c>
      <c r="N44" s="7"/>
      <c r="O44" s="7"/>
      <c r="P44" s="6" t="s">
        <v>44</v>
      </c>
      <c r="Q44" s="8" t="s">
        <v>331</v>
      </c>
      <c r="R44" t="str">
        <f>HYPERLINK("https://docs.wto.org/imrd/directdoc.asp?DDFDocuments/t/G/TBTN25/TPKM575A1.docx", "https://docs.wto.org/imrd/directdoc.asp?DDFDocuments/t/G/TBTN25/TPKM575A1.docx")</f>
        <v>https://docs.wto.org/imrd/directdoc.asp?DDFDocuments/t/G/TBTN25/TPKM575A1.docx</v>
      </c>
      <c r="S44" t="str">
        <f>HYPERLINK("https://docs.wto.org/imrd/directdoc.asp?DDFDocuments/u/G/TBTN25/TPKM575A1.docx", "https://docs.wto.org/imrd/directdoc.asp?DDFDocuments/u/G/TBTN25/TPKM575A1.docx")</f>
        <v>https://docs.wto.org/imrd/directdoc.asp?DDFDocuments/u/G/TBTN25/TPKM575A1.docx</v>
      </c>
      <c r="T44" t="str">
        <f>HYPERLINK("https://docs.wto.org/imrd/directdoc.asp?DDFDocuments/v/G/TBTN25/TPKM575A1.docx", "https://docs.wto.org/imrd/directdoc.asp?DDFDocuments/v/G/TBTN25/TPKM575A1.docx")</f>
        <v>https://docs.wto.org/imrd/directdoc.asp?DDFDocuments/v/G/TBTN25/TPKM575A1.docx</v>
      </c>
      <c r="U44" t="s">
        <v>46</v>
      </c>
      <c r="V44" t="s">
        <v>46</v>
      </c>
      <c r="W44" t="s">
        <v>46</v>
      </c>
      <c r="X44" t="s">
        <v>46</v>
      </c>
      <c r="Y44" t="s">
        <v>46</v>
      </c>
      <c r="Z44" t="s">
        <v>46</v>
      </c>
      <c r="AA44" t="s">
        <v>46</v>
      </c>
      <c r="AB44" s="2" t="s">
        <v>43</v>
      </c>
      <c r="AC44" t="s">
        <v>43</v>
      </c>
      <c r="AD44" t="s">
        <v>43</v>
      </c>
      <c r="AE44" t="s">
        <v>43</v>
      </c>
      <c r="AF44" t="s">
        <v>43</v>
      </c>
      <c r="AG44" t="s">
        <v>43</v>
      </c>
      <c r="AH44" s="2" t="s">
        <v>43</v>
      </c>
    </row>
    <row r="45" spans="1:34" ht="330">
      <c r="A45" s="6" t="s">
        <v>132</v>
      </c>
      <c r="B45" s="7">
        <v>46098</v>
      </c>
      <c r="C45" s="9" t="str">
        <f>HYPERLINK("https://eping.wto.org/en/Search?viewData= G/TBT/N/USA/2036/Rev.1/Add.4"," G/TBT/N/USA/2036/Rev.1/Add.4")</f>
        <v xml:space="preserve"> G/TBT/N/USA/2036/Rev.1/Add.4</v>
      </c>
      <c r="D45" s="8" t="s">
        <v>332</v>
      </c>
      <c r="E45" s="8" t="s">
        <v>333</v>
      </c>
      <c r="F45" s="8" t="s">
        <v>334</v>
      </c>
      <c r="G45" s="8" t="s">
        <v>43</v>
      </c>
      <c r="H45" s="8" t="s">
        <v>335</v>
      </c>
      <c r="I45" s="8" t="s">
        <v>336</v>
      </c>
      <c r="J45" s="8" t="s">
        <v>43</v>
      </c>
      <c r="K45" s="8" t="s">
        <v>43</v>
      </c>
      <c r="L45" s="6"/>
      <c r="M45" s="7" t="s">
        <v>43</v>
      </c>
      <c r="N45" s="7"/>
      <c r="O45" s="7"/>
      <c r="P45" s="6" t="s">
        <v>44</v>
      </c>
      <c r="Q45" s="8" t="s">
        <v>337</v>
      </c>
      <c r="R45" t="str">
        <f>HYPERLINK("https://docs.wto.org/imrd/directdoc.asp?DDFDocuments/t/G/TBTN23/USA2036R1A4.docx", "https://docs.wto.org/imrd/directdoc.asp?DDFDocuments/t/G/TBTN23/USA2036R1A4.docx")</f>
        <v>https://docs.wto.org/imrd/directdoc.asp?DDFDocuments/t/G/TBTN23/USA2036R1A4.docx</v>
      </c>
      <c r="S45" t="str">
        <f>HYPERLINK("https://docs.wto.org/imrd/directdoc.asp?DDFDocuments/u/G/TBTN23/USA2036R1A4.docx", "https://docs.wto.org/imrd/directdoc.asp?DDFDocuments/u/G/TBTN23/USA2036R1A4.docx")</f>
        <v>https://docs.wto.org/imrd/directdoc.asp?DDFDocuments/u/G/TBTN23/USA2036R1A4.docx</v>
      </c>
      <c r="T45" t="str">
        <f>HYPERLINK("https://docs.wto.org/imrd/directdoc.asp?DDFDocuments/v/G/TBTN23/USA2036R1A4.docx", "https://docs.wto.org/imrd/directdoc.asp?DDFDocuments/v/G/TBTN23/USA2036R1A4.docx")</f>
        <v>https://docs.wto.org/imrd/directdoc.asp?DDFDocuments/v/G/TBTN23/USA2036R1A4.docx</v>
      </c>
      <c r="U45" t="s">
        <v>46</v>
      </c>
      <c r="V45" t="s">
        <v>46</v>
      </c>
      <c r="W45" t="s">
        <v>46</v>
      </c>
      <c r="X45" t="s">
        <v>46</v>
      </c>
      <c r="Y45" t="s">
        <v>46</v>
      </c>
      <c r="Z45" t="s">
        <v>46</v>
      </c>
      <c r="AA45" t="s">
        <v>46</v>
      </c>
      <c r="AB45" s="2" t="s">
        <v>43</v>
      </c>
      <c r="AC45" t="s">
        <v>43</v>
      </c>
      <c r="AD45" t="s">
        <v>43</v>
      </c>
      <c r="AE45" t="s">
        <v>43</v>
      </c>
      <c r="AF45" t="s">
        <v>43</v>
      </c>
      <c r="AG45" t="s">
        <v>43</v>
      </c>
      <c r="AH45" s="2" t="s">
        <v>43</v>
      </c>
    </row>
    <row r="46" spans="1:34" ht="75">
      <c r="A46" s="6" t="s">
        <v>338</v>
      </c>
      <c r="B46" s="7">
        <v>46098</v>
      </c>
      <c r="C46" s="9" t="str">
        <f>HYPERLINK("https://eping.wto.org/en/Search?viewData= G/TBT/N/SAU/946/Add.1"," G/TBT/N/SAU/946/Add.1")</f>
        <v xml:space="preserve"> G/TBT/N/SAU/946/Add.1</v>
      </c>
      <c r="D46" s="8" t="s">
        <v>339</v>
      </c>
      <c r="E46" s="8" t="s">
        <v>340</v>
      </c>
      <c r="F46" s="8" t="s">
        <v>341</v>
      </c>
      <c r="G46" s="8" t="s">
        <v>43</v>
      </c>
      <c r="H46" s="8" t="s">
        <v>342</v>
      </c>
      <c r="I46" s="8" t="s">
        <v>343</v>
      </c>
      <c r="J46" s="8" t="s">
        <v>344</v>
      </c>
      <c r="K46" s="8" t="s">
        <v>43</v>
      </c>
      <c r="L46" s="6"/>
      <c r="M46" s="7" t="s">
        <v>43</v>
      </c>
      <c r="N46" s="7"/>
      <c r="O46" s="7"/>
      <c r="P46" s="6" t="s">
        <v>44</v>
      </c>
      <c r="Q46" s="8" t="s">
        <v>345</v>
      </c>
      <c r="R46" t="str">
        <f>HYPERLINK("https://docs.wto.org/imrd/directdoc.asp?DDFDocuments/t/G/TBTN16/SAU946A1.docx", "https://docs.wto.org/imrd/directdoc.asp?DDFDocuments/t/G/TBTN16/SAU946A1.docx")</f>
        <v>https://docs.wto.org/imrd/directdoc.asp?DDFDocuments/t/G/TBTN16/SAU946A1.docx</v>
      </c>
      <c r="S46" t="str">
        <f>HYPERLINK("https://docs.wto.org/imrd/directdoc.asp?DDFDocuments/u/G/TBTN16/SAU946A1.docx", "https://docs.wto.org/imrd/directdoc.asp?DDFDocuments/u/G/TBTN16/SAU946A1.docx")</f>
        <v>https://docs.wto.org/imrd/directdoc.asp?DDFDocuments/u/G/TBTN16/SAU946A1.docx</v>
      </c>
      <c r="T46" t="str">
        <f>HYPERLINK("https://docs.wto.org/imrd/directdoc.asp?DDFDocuments/v/G/TBTN16/SAU946A1.docx", "https://docs.wto.org/imrd/directdoc.asp?DDFDocuments/v/G/TBTN16/SAU946A1.docx")</f>
        <v>https://docs.wto.org/imrd/directdoc.asp?DDFDocuments/v/G/TBTN16/SAU946A1.docx</v>
      </c>
      <c r="U46" t="s">
        <v>46</v>
      </c>
      <c r="V46" t="s">
        <v>64</v>
      </c>
      <c r="W46" t="s">
        <v>46</v>
      </c>
      <c r="X46" t="s">
        <v>46</v>
      </c>
      <c r="Y46" t="s">
        <v>46</v>
      </c>
      <c r="Z46" t="s">
        <v>46</v>
      </c>
      <c r="AA46" t="s">
        <v>46</v>
      </c>
      <c r="AB46" s="2" t="s">
        <v>43</v>
      </c>
      <c r="AC46" t="s">
        <v>43</v>
      </c>
      <c r="AD46" t="s">
        <v>43</v>
      </c>
      <c r="AE46" t="s">
        <v>43</v>
      </c>
      <c r="AF46" t="s">
        <v>43</v>
      </c>
      <c r="AG46" t="s">
        <v>43</v>
      </c>
      <c r="AH46" s="2" t="s">
        <v>43</v>
      </c>
    </row>
    <row r="47" spans="1:34" ht="210">
      <c r="A47" s="6" t="s">
        <v>132</v>
      </c>
      <c r="B47" s="7">
        <v>46098</v>
      </c>
      <c r="C47" s="9" t="str">
        <f>HYPERLINK("https://eping.wto.org/en/Search?viewData= G/TBT/N/USA/1059/Add.1"," G/TBT/N/USA/1059/Add.1")</f>
        <v xml:space="preserve"> G/TBT/N/USA/1059/Add.1</v>
      </c>
      <c r="D47" s="8" t="s">
        <v>346</v>
      </c>
      <c r="E47" s="8" t="s">
        <v>347</v>
      </c>
      <c r="F47" s="8" t="s">
        <v>348</v>
      </c>
      <c r="G47" s="8" t="s">
        <v>43</v>
      </c>
      <c r="H47" s="8" t="s">
        <v>349</v>
      </c>
      <c r="I47" s="8" t="s">
        <v>275</v>
      </c>
      <c r="J47" s="8"/>
      <c r="K47" s="8" t="s">
        <v>350</v>
      </c>
      <c r="L47" s="6"/>
      <c r="M47" s="7" t="s">
        <v>43</v>
      </c>
      <c r="N47" s="7"/>
      <c r="O47" s="7"/>
      <c r="P47" s="6" t="s">
        <v>44</v>
      </c>
      <c r="Q47" s="6"/>
      <c r="R47" t="str">
        <f>HYPERLINK("https://docs.wto.org/imrd/directdoc.asp?DDFDocuments/t/G/TBTN16/USA1059A1.docx", "https://docs.wto.org/imrd/directdoc.asp?DDFDocuments/t/G/TBTN16/USA1059A1.docx")</f>
        <v>https://docs.wto.org/imrd/directdoc.asp?DDFDocuments/t/G/TBTN16/USA1059A1.docx</v>
      </c>
      <c r="S47" t="str">
        <f>HYPERLINK("https://docs.wto.org/imrd/directdoc.asp?DDFDocuments/u/G/TBTN16/USA1059A1.docx", "https://docs.wto.org/imrd/directdoc.asp?DDFDocuments/u/G/TBTN16/USA1059A1.docx")</f>
        <v>https://docs.wto.org/imrd/directdoc.asp?DDFDocuments/u/G/TBTN16/USA1059A1.docx</v>
      </c>
      <c r="T47" t="str">
        <f>HYPERLINK("https://docs.wto.org/imrd/directdoc.asp?DDFDocuments/v/G/TBTN16/USA1059A1.docx", "https://docs.wto.org/imrd/directdoc.asp?DDFDocuments/v/G/TBTN16/USA1059A1.docx")</f>
        <v>https://docs.wto.org/imrd/directdoc.asp?DDFDocuments/v/G/TBTN16/USA1059A1.docx</v>
      </c>
      <c r="U47" t="s">
        <v>64</v>
      </c>
      <c r="V47" t="s">
        <v>46</v>
      </c>
      <c r="W47" t="s">
        <v>46</v>
      </c>
      <c r="X47" t="s">
        <v>46</v>
      </c>
      <c r="Y47" t="s">
        <v>46</v>
      </c>
      <c r="Z47" t="s">
        <v>46</v>
      </c>
      <c r="AA47" t="s">
        <v>46</v>
      </c>
      <c r="AB47" s="2" t="s">
        <v>43</v>
      </c>
      <c r="AC47" t="s">
        <v>43</v>
      </c>
      <c r="AD47" t="s">
        <v>43</v>
      </c>
      <c r="AE47" t="s">
        <v>43</v>
      </c>
      <c r="AF47" t="s">
        <v>43</v>
      </c>
      <c r="AG47" t="s">
        <v>43</v>
      </c>
      <c r="AH47" s="2" t="s">
        <v>43</v>
      </c>
    </row>
    <row r="48" spans="1:34" ht="45">
      <c r="A48" s="6" t="s">
        <v>306</v>
      </c>
      <c r="B48" s="7">
        <v>46098</v>
      </c>
      <c r="C48" s="9" t="str">
        <f>HYPERLINK("https://eping.wto.org/en/Search?viewData= G/SPS/N/NPL/51"," G/SPS/N/NPL/51")</f>
        <v xml:space="preserve"> G/SPS/N/NPL/51</v>
      </c>
      <c r="D48" s="8" t="s">
        <v>351</v>
      </c>
      <c r="E48" s="8" t="s">
        <v>352</v>
      </c>
      <c r="F48" s="8" t="s">
        <v>353</v>
      </c>
      <c r="G48" s="8" t="s">
        <v>354</v>
      </c>
      <c r="H48" s="8" t="s">
        <v>43</v>
      </c>
      <c r="I48" s="8" t="s">
        <v>58</v>
      </c>
      <c r="J48" s="8" t="s">
        <v>43</v>
      </c>
      <c r="K48" s="8" t="s">
        <v>310</v>
      </c>
      <c r="L48" s="6" t="s">
        <v>43</v>
      </c>
      <c r="M48" s="7">
        <v>46158</v>
      </c>
      <c r="N48" s="7" t="s">
        <v>311</v>
      </c>
      <c r="O48" s="7" t="s">
        <v>312</v>
      </c>
      <c r="P48" s="6" t="s">
        <v>62</v>
      </c>
      <c r="Q48" s="8" t="s">
        <v>355</v>
      </c>
      <c r="R48" t="str">
        <f>HYPERLINK("https://docs.wto.org/imrd/directdoc.asp?DDFDocuments/t/G/SPS/NNPL51.docx", "https://docs.wto.org/imrd/directdoc.asp?DDFDocuments/t/G/SPS/NNPL51.docx")</f>
        <v>https://docs.wto.org/imrd/directdoc.asp?DDFDocuments/t/G/SPS/NNPL51.docx</v>
      </c>
      <c r="S48" t="str">
        <f>HYPERLINK("https://docs.wto.org/imrd/directdoc.asp?DDFDocuments/u/G/SPS/NNPL51.docx", "https://docs.wto.org/imrd/directdoc.asp?DDFDocuments/u/G/SPS/NNPL51.docx")</f>
        <v>https://docs.wto.org/imrd/directdoc.asp?DDFDocuments/u/G/SPS/NNPL51.docx</v>
      </c>
      <c r="T48" t="str">
        <f>HYPERLINK("https://docs.wto.org/imrd/directdoc.asp?DDFDocuments/v/G/SPS/NNPL51.docx", "https://docs.wto.org/imrd/directdoc.asp?DDFDocuments/v/G/SPS/NNPL51.docx")</f>
        <v>https://docs.wto.org/imrd/directdoc.asp?DDFDocuments/v/G/SPS/NNPL51.docx</v>
      </c>
      <c r="U48" t="s">
        <v>43</v>
      </c>
      <c r="V48" t="s">
        <v>43</v>
      </c>
      <c r="W48" t="s">
        <v>43</v>
      </c>
      <c r="X48" t="s">
        <v>43</v>
      </c>
      <c r="Y48" t="s">
        <v>43</v>
      </c>
      <c r="Z48" t="s">
        <v>43</v>
      </c>
      <c r="AA48" t="s">
        <v>43</v>
      </c>
      <c r="AB48" s="2" t="s">
        <v>43</v>
      </c>
      <c r="AC48" t="s">
        <v>46</v>
      </c>
      <c r="AD48" t="s">
        <v>46</v>
      </c>
      <c r="AE48" t="s">
        <v>46</v>
      </c>
      <c r="AF48" t="s">
        <v>64</v>
      </c>
      <c r="AG48" t="s">
        <v>99</v>
      </c>
      <c r="AH48" s="2" t="s">
        <v>43</v>
      </c>
    </row>
    <row r="49" spans="1:34" ht="75">
      <c r="A49" s="6" t="s">
        <v>356</v>
      </c>
      <c r="B49" s="7">
        <v>46098</v>
      </c>
      <c r="C49" s="9" t="str">
        <f>HYPERLINK("https://eping.wto.org/en/Search?viewData= G/SPS/N/EU/887/Add.1"," G/SPS/N/EU/887/Add.1")</f>
        <v xml:space="preserve"> G/SPS/N/EU/887/Add.1</v>
      </c>
      <c r="D49" s="8" t="s">
        <v>357</v>
      </c>
      <c r="E49" s="8" t="s">
        <v>358</v>
      </c>
      <c r="F49" s="8" t="s">
        <v>359</v>
      </c>
      <c r="G49" s="8" t="s">
        <v>360</v>
      </c>
      <c r="H49" s="8" t="s">
        <v>43</v>
      </c>
      <c r="I49" s="8" t="s">
        <v>361</v>
      </c>
      <c r="J49" s="8" t="s">
        <v>43</v>
      </c>
      <c r="K49" s="8" t="s">
        <v>362</v>
      </c>
      <c r="L49" s="6"/>
      <c r="M49" s="7" t="s">
        <v>43</v>
      </c>
      <c r="N49" s="7"/>
      <c r="O49" s="7"/>
      <c r="P49" s="6" t="s">
        <v>44</v>
      </c>
      <c r="Q49" s="8" t="s">
        <v>363</v>
      </c>
      <c r="R49" t="str">
        <f>HYPERLINK("https://docs.wto.org/imrd/directdoc.asp?DDFDocuments/t/G/SPS/NEU887A1.docx", "https://docs.wto.org/imrd/directdoc.asp?DDFDocuments/t/G/SPS/NEU887A1.docx")</f>
        <v>https://docs.wto.org/imrd/directdoc.asp?DDFDocuments/t/G/SPS/NEU887A1.docx</v>
      </c>
      <c r="S49" t="str">
        <f>HYPERLINK("https://docs.wto.org/imrd/directdoc.asp?DDFDocuments/u/G/SPS/NEU887A1.docx", "https://docs.wto.org/imrd/directdoc.asp?DDFDocuments/u/G/SPS/NEU887A1.docx")</f>
        <v>https://docs.wto.org/imrd/directdoc.asp?DDFDocuments/u/G/SPS/NEU887A1.docx</v>
      </c>
      <c r="T49" t="str">
        <f>HYPERLINK("https://docs.wto.org/imrd/directdoc.asp?DDFDocuments/v/G/SPS/NEU887A1.docx", "https://docs.wto.org/imrd/directdoc.asp?DDFDocuments/v/G/SPS/NEU887A1.docx")</f>
        <v>https://docs.wto.org/imrd/directdoc.asp?DDFDocuments/v/G/SPS/NEU887A1.docx</v>
      </c>
      <c r="U49" t="s">
        <v>43</v>
      </c>
      <c r="V49" t="s">
        <v>43</v>
      </c>
      <c r="W49" t="s">
        <v>43</v>
      </c>
      <c r="X49" t="s">
        <v>43</v>
      </c>
      <c r="Y49" t="s">
        <v>43</v>
      </c>
      <c r="Z49" t="s">
        <v>43</v>
      </c>
      <c r="AA49" t="s">
        <v>43</v>
      </c>
      <c r="AB49" s="2" t="s">
        <v>43</v>
      </c>
      <c r="AC49" t="s">
        <v>43</v>
      </c>
      <c r="AD49" t="s">
        <v>43</v>
      </c>
      <c r="AE49" t="s">
        <v>43</v>
      </c>
      <c r="AF49" t="s">
        <v>43</v>
      </c>
      <c r="AG49" t="s">
        <v>43</v>
      </c>
      <c r="AH49" s="2" t="s">
        <v>43</v>
      </c>
    </row>
    <row r="50" spans="1:34" ht="180">
      <c r="A50" s="6" t="s">
        <v>132</v>
      </c>
      <c r="B50" s="7">
        <v>46098</v>
      </c>
      <c r="C50" s="9" t="str">
        <f>HYPERLINK("https://eping.wto.org/en/Search?viewData= G/SPS/N/USA/3564"," G/SPS/N/USA/3564")</f>
        <v xml:space="preserve"> G/SPS/N/USA/3564</v>
      </c>
      <c r="D50" s="8" t="s">
        <v>364</v>
      </c>
      <c r="E50" s="8" t="s">
        <v>365</v>
      </c>
      <c r="F50" s="8" t="s">
        <v>366</v>
      </c>
      <c r="G50" s="8" t="s">
        <v>367</v>
      </c>
      <c r="H50" s="8" t="s">
        <v>43</v>
      </c>
      <c r="I50" s="8" t="s">
        <v>254</v>
      </c>
      <c r="J50" s="8" t="s">
        <v>43</v>
      </c>
      <c r="K50" s="8" t="s">
        <v>302</v>
      </c>
      <c r="L50" s="6" t="s">
        <v>325</v>
      </c>
      <c r="M50" s="7">
        <v>46146</v>
      </c>
      <c r="N50" s="7" t="s">
        <v>304</v>
      </c>
      <c r="O50" s="7" t="s">
        <v>304</v>
      </c>
      <c r="P50" s="6" t="s">
        <v>62</v>
      </c>
      <c r="Q50" s="8" t="s">
        <v>368</v>
      </c>
      <c r="R50" t="str">
        <f>HYPERLINK("https://docs.wto.org/imrd/directdoc.asp?DDFDocuments/t/G/SPS/NUSA3564.docx", "https://docs.wto.org/imrd/directdoc.asp?DDFDocuments/t/G/SPS/NUSA3564.docx")</f>
        <v>https://docs.wto.org/imrd/directdoc.asp?DDFDocuments/t/G/SPS/NUSA3564.docx</v>
      </c>
      <c r="S50" t="str">
        <f>HYPERLINK("https://docs.wto.org/imrd/directdoc.asp?DDFDocuments/u/G/SPS/NUSA3564.docx", "https://docs.wto.org/imrd/directdoc.asp?DDFDocuments/u/G/SPS/NUSA3564.docx")</f>
        <v>https://docs.wto.org/imrd/directdoc.asp?DDFDocuments/u/G/SPS/NUSA3564.docx</v>
      </c>
      <c r="T50" t="str">
        <f>HYPERLINK("https://docs.wto.org/imrd/directdoc.asp?DDFDocuments/v/G/SPS/NUSA3564.docx", "https://docs.wto.org/imrd/directdoc.asp?DDFDocuments/v/G/SPS/NUSA3564.docx")</f>
        <v>https://docs.wto.org/imrd/directdoc.asp?DDFDocuments/v/G/SPS/NUSA3564.docx</v>
      </c>
      <c r="U50" t="s">
        <v>43</v>
      </c>
      <c r="V50" t="s">
        <v>43</v>
      </c>
      <c r="W50" t="s">
        <v>43</v>
      </c>
      <c r="X50" t="s">
        <v>43</v>
      </c>
      <c r="Y50" t="s">
        <v>43</v>
      </c>
      <c r="Z50" t="s">
        <v>43</v>
      </c>
      <c r="AA50" t="s">
        <v>43</v>
      </c>
      <c r="AB50" s="2" t="s">
        <v>43</v>
      </c>
      <c r="AC50" t="s">
        <v>46</v>
      </c>
      <c r="AD50" t="s">
        <v>46</v>
      </c>
      <c r="AE50" t="s">
        <v>46</v>
      </c>
      <c r="AF50" t="s">
        <v>64</v>
      </c>
      <c r="AG50" t="s">
        <v>99</v>
      </c>
      <c r="AH50" s="2" t="s">
        <v>43</v>
      </c>
    </row>
    <row r="51" spans="1:34" ht="165">
      <c r="A51" s="6" t="s">
        <v>132</v>
      </c>
      <c r="B51" s="7">
        <v>46098</v>
      </c>
      <c r="C51" s="9" t="str">
        <f>HYPERLINK("https://eping.wto.org/en/Search?viewData= G/TBT/N/USA/2266"," G/TBT/N/USA/2266")</f>
        <v xml:space="preserve"> G/TBT/N/USA/2266</v>
      </c>
      <c r="D51" s="8" t="s">
        <v>369</v>
      </c>
      <c r="E51" s="8" t="s">
        <v>370</v>
      </c>
      <c r="F51" s="8" t="s">
        <v>371</v>
      </c>
      <c r="G51" s="8" t="s">
        <v>43</v>
      </c>
      <c r="H51" s="8" t="s">
        <v>372</v>
      </c>
      <c r="I51" s="8" t="s">
        <v>322</v>
      </c>
      <c r="J51" s="8" t="s">
        <v>43</v>
      </c>
      <c r="K51" s="8" t="s">
        <v>43</v>
      </c>
      <c r="L51" s="6"/>
      <c r="M51" s="7">
        <v>46127</v>
      </c>
      <c r="N51" s="7" t="s">
        <v>79</v>
      </c>
      <c r="O51" s="7" t="s">
        <v>79</v>
      </c>
      <c r="P51" s="6" t="s">
        <v>62</v>
      </c>
      <c r="Q51" s="8" t="s">
        <v>373</v>
      </c>
      <c r="R51" t="str">
        <f>HYPERLINK("https://docs.wto.org/imrd/directdoc.asp?DDFDocuments/t/G/TBTN26/USA2266.docx", "https://docs.wto.org/imrd/directdoc.asp?DDFDocuments/t/G/TBTN26/USA2266.docx")</f>
        <v>https://docs.wto.org/imrd/directdoc.asp?DDFDocuments/t/G/TBTN26/USA2266.docx</v>
      </c>
      <c r="S51" t="str">
        <f>HYPERLINK("https://docs.wto.org/imrd/directdoc.asp?DDFDocuments/u/G/TBTN26/USA2266.docx", "https://docs.wto.org/imrd/directdoc.asp?DDFDocuments/u/G/TBTN26/USA2266.docx")</f>
        <v>https://docs.wto.org/imrd/directdoc.asp?DDFDocuments/u/G/TBTN26/USA2266.docx</v>
      </c>
      <c r="T51" t="str">
        <f>HYPERLINK("https://docs.wto.org/imrd/directdoc.asp?DDFDocuments/v/G/TBTN26/USA2266.docx", "https://docs.wto.org/imrd/directdoc.asp?DDFDocuments/v/G/TBTN26/USA2266.docx")</f>
        <v>https://docs.wto.org/imrd/directdoc.asp?DDFDocuments/v/G/TBTN26/USA2266.docx</v>
      </c>
      <c r="U51" t="s">
        <v>64</v>
      </c>
      <c r="V51" t="s">
        <v>46</v>
      </c>
      <c r="W51" t="s">
        <v>46</v>
      </c>
      <c r="X51" t="s">
        <v>46</v>
      </c>
      <c r="Y51" t="s">
        <v>46</v>
      </c>
      <c r="Z51" t="s">
        <v>46</v>
      </c>
      <c r="AA51" t="s">
        <v>46</v>
      </c>
      <c r="AB51" s="2" t="s">
        <v>374</v>
      </c>
      <c r="AC51" t="s">
        <v>43</v>
      </c>
      <c r="AD51" t="s">
        <v>43</v>
      </c>
      <c r="AE51" t="s">
        <v>43</v>
      </c>
      <c r="AF51" t="s">
        <v>43</v>
      </c>
      <c r="AG51" t="s">
        <v>43</v>
      </c>
      <c r="AH51" s="2" t="s">
        <v>43</v>
      </c>
    </row>
    <row r="52" spans="1:34" ht="409.5">
      <c r="A52" s="6" t="s">
        <v>356</v>
      </c>
      <c r="B52" s="7">
        <v>46098</v>
      </c>
      <c r="C52" s="9" t="str">
        <f>HYPERLINK("https://eping.wto.org/en/Search?viewData= G/SPS/N/EU/888/Add.1"," G/SPS/N/EU/888/Add.1")</f>
        <v xml:space="preserve"> G/SPS/N/EU/888/Add.1</v>
      </c>
      <c r="D52" s="8" t="s">
        <v>375</v>
      </c>
      <c r="E52" s="8" t="s">
        <v>376</v>
      </c>
      <c r="F52" s="8" t="s">
        <v>377</v>
      </c>
      <c r="G52" s="8" t="s">
        <v>378</v>
      </c>
      <c r="H52" s="8" t="s">
        <v>43</v>
      </c>
      <c r="I52" s="8" t="s">
        <v>361</v>
      </c>
      <c r="J52" s="8" t="s">
        <v>43</v>
      </c>
      <c r="K52" s="8" t="s">
        <v>379</v>
      </c>
      <c r="L52" s="6"/>
      <c r="M52" s="7" t="s">
        <v>43</v>
      </c>
      <c r="N52" s="7"/>
      <c r="O52" s="7"/>
      <c r="P52" s="6" t="s">
        <v>44</v>
      </c>
      <c r="Q52" s="8" t="s">
        <v>380</v>
      </c>
      <c r="R52" t="str">
        <f>HYPERLINK("https://docs.wto.org/imrd/directdoc.asp?DDFDocuments/t/G/SPS/NEU888A1.docx", "https://docs.wto.org/imrd/directdoc.asp?DDFDocuments/t/G/SPS/NEU888A1.docx")</f>
        <v>https://docs.wto.org/imrd/directdoc.asp?DDFDocuments/t/G/SPS/NEU888A1.docx</v>
      </c>
      <c r="S52" t="str">
        <f>HYPERLINK("https://docs.wto.org/imrd/directdoc.asp?DDFDocuments/u/G/SPS/NEU888A1.docx", "https://docs.wto.org/imrd/directdoc.asp?DDFDocuments/u/G/SPS/NEU888A1.docx")</f>
        <v>https://docs.wto.org/imrd/directdoc.asp?DDFDocuments/u/G/SPS/NEU888A1.docx</v>
      </c>
      <c r="T52" t="str">
        <f>HYPERLINK("https://docs.wto.org/imrd/directdoc.asp?DDFDocuments/v/G/SPS/NEU888A1.docx", "https://docs.wto.org/imrd/directdoc.asp?DDFDocuments/v/G/SPS/NEU888A1.docx")</f>
        <v>https://docs.wto.org/imrd/directdoc.asp?DDFDocuments/v/G/SPS/NEU888A1.docx</v>
      </c>
      <c r="U52" t="s">
        <v>43</v>
      </c>
      <c r="V52" t="s">
        <v>43</v>
      </c>
      <c r="W52" t="s">
        <v>43</v>
      </c>
      <c r="X52" t="s">
        <v>43</v>
      </c>
      <c r="Y52" t="s">
        <v>43</v>
      </c>
      <c r="Z52" t="s">
        <v>43</v>
      </c>
      <c r="AA52" t="s">
        <v>43</v>
      </c>
      <c r="AB52" s="2" t="s">
        <v>43</v>
      </c>
      <c r="AC52" t="s">
        <v>43</v>
      </c>
      <c r="AD52" t="s">
        <v>43</v>
      </c>
      <c r="AE52" t="s">
        <v>43</v>
      </c>
      <c r="AF52" t="s">
        <v>43</v>
      </c>
      <c r="AG52" t="s">
        <v>43</v>
      </c>
      <c r="AH52" s="2" t="s">
        <v>43</v>
      </c>
    </row>
    <row r="53" spans="1:34" ht="45">
      <c r="A53" s="6" t="s">
        <v>325</v>
      </c>
      <c r="B53" s="7">
        <v>46098</v>
      </c>
      <c r="C53" s="9" t="str">
        <f>HYPERLINK("https://eping.wto.org/en/Search?viewData= G/SPS/N/TPKM/655/Add.1"," G/SPS/N/TPKM/655/Add.1")</f>
        <v xml:space="preserve"> G/SPS/N/TPKM/655/Add.1</v>
      </c>
      <c r="D53" s="8" t="s">
        <v>381</v>
      </c>
      <c r="E53" s="8" t="s">
        <v>382</v>
      </c>
      <c r="F53" s="8" t="s">
        <v>383</v>
      </c>
      <c r="G53" s="8" t="s">
        <v>43</v>
      </c>
      <c r="H53" s="8" t="s">
        <v>43</v>
      </c>
      <c r="I53" s="8" t="s">
        <v>94</v>
      </c>
      <c r="J53" s="8" t="s">
        <v>43</v>
      </c>
      <c r="K53" s="8" t="s">
        <v>384</v>
      </c>
      <c r="L53" s="6"/>
      <c r="M53" s="7" t="s">
        <v>43</v>
      </c>
      <c r="N53" s="7"/>
      <c r="O53" s="7"/>
      <c r="P53" s="6" t="s">
        <v>44</v>
      </c>
      <c r="Q53" s="8" t="s">
        <v>385</v>
      </c>
      <c r="R53" t="str">
        <f>HYPERLINK("https://docs.wto.org/imrd/directdoc.asp?DDFDocuments/t/G/SPS/NTPKM655A1.docx", "https://docs.wto.org/imrd/directdoc.asp?DDFDocuments/t/G/SPS/NTPKM655A1.docx")</f>
        <v>https://docs.wto.org/imrd/directdoc.asp?DDFDocuments/t/G/SPS/NTPKM655A1.docx</v>
      </c>
      <c r="S53" t="str">
        <f>HYPERLINK("https://docs.wto.org/imrd/directdoc.asp?DDFDocuments/u/G/SPS/NTPKM655A1.docx", "https://docs.wto.org/imrd/directdoc.asp?DDFDocuments/u/G/SPS/NTPKM655A1.docx")</f>
        <v>https://docs.wto.org/imrd/directdoc.asp?DDFDocuments/u/G/SPS/NTPKM655A1.docx</v>
      </c>
      <c r="T53" t="str">
        <f>HYPERLINK("https://docs.wto.org/imrd/directdoc.asp?DDFDocuments/v/G/SPS/NTPKM655A1.docx", "https://docs.wto.org/imrd/directdoc.asp?DDFDocuments/v/G/SPS/NTPKM655A1.docx")</f>
        <v>https://docs.wto.org/imrd/directdoc.asp?DDFDocuments/v/G/SPS/NTPKM655A1.docx</v>
      </c>
      <c r="U53" t="s">
        <v>43</v>
      </c>
      <c r="V53" t="s">
        <v>43</v>
      </c>
      <c r="W53" t="s">
        <v>43</v>
      </c>
      <c r="X53" t="s">
        <v>43</v>
      </c>
      <c r="Y53" t="s">
        <v>43</v>
      </c>
      <c r="Z53" t="s">
        <v>43</v>
      </c>
      <c r="AA53" t="s">
        <v>43</v>
      </c>
      <c r="AB53" s="2" t="s">
        <v>43</v>
      </c>
      <c r="AC53" t="s">
        <v>43</v>
      </c>
      <c r="AD53" t="s">
        <v>43</v>
      </c>
      <c r="AE53" t="s">
        <v>43</v>
      </c>
      <c r="AF53" t="s">
        <v>43</v>
      </c>
      <c r="AG53" t="s">
        <v>43</v>
      </c>
      <c r="AH53" s="2" t="s">
        <v>43</v>
      </c>
    </row>
    <row r="54" spans="1:34" ht="75">
      <c r="A54" s="6" t="s">
        <v>356</v>
      </c>
      <c r="B54" s="7">
        <v>46098</v>
      </c>
      <c r="C54" s="9" t="str">
        <f>HYPERLINK("https://eping.wto.org/en/Search?viewData= G/SPS/N/EU/886/Add.1"," G/SPS/N/EU/886/Add.1")</f>
        <v xml:space="preserve"> G/SPS/N/EU/886/Add.1</v>
      </c>
      <c r="D54" s="8" t="s">
        <v>386</v>
      </c>
      <c r="E54" s="8" t="s">
        <v>387</v>
      </c>
      <c r="F54" s="8" t="s">
        <v>359</v>
      </c>
      <c r="G54" s="8" t="s">
        <v>360</v>
      </c>
      <c r="H54" s="8" t="s">
        <v>43</v>
      </c>
      <c r="I54" s="8" t="s">
        <v>361</v>
      </c>
      <c r="J54" s="8" t="s">
        <v>43</v>
      </c>
      <c r="K54" s="8" t="s">
        <v>388</v>
      </c>
      <c r="L54" s="6"/>
      <c r="M54" s="7" t="s">
        <v>43</v>
      </c>
      <c r="N54" s="7"/>
      <c r="O54" s="7"/>
      <c r="P54" s="6" t="s">
        <v>44</v>
      </c>
      <c r="Q54" s="8" t="s">
        <v>389</v>
      </c>
      <c r="R54" t="str">
        <f>HYPERLINK("https://docs.wto.org/imrd/directdoc.asp?DDFDocuments/t/G/SPS/NEU886A1.docx", "https://docs.wto.org/imrd/directdoc.asp?DDFDocuments/t/G/SPS/NEU886A1.docx")</f>
        <v>https://docs.wto.org/imrd/directdoc.asp?DDFDocuments/t/G/SPS/NEU886A1.docx</v>
      </c>
      <c r="S54" t="str">
        <f>HYPERLINK("https://docs.wto.org/imrd/directdoc.asp?DDFDocuments/u/G/SPS/NEU886A1.docx", "https://docs.wto.org/imrd/directdoc.asp?DDFDocuments/u/G/SPS/NEU886A1.docx")</f>
        <v>https://docs.wto.org/imrd/directdoc.asp?DDFDocuments/u/G/SPS/NEU886A1.docx</v>
      </c>
      <c r="T54" t="str">
        <f>HYPERLINK("https://docs.wto.org/imrd/directdoc.asp?DDFDocuments/v/G/SPS/NEU886A1.docx", "https://docs.wto.org/imrd/directdoc.asp?DDFDocuments/v/G/SPS/NEU886A1.docx")</f>
        <v>https://docs.wto.org/imrd/directdoc.asp?DDFDocuments/v/G/SPS/NEU886A1.docx</v>
      </c>
      <c r="U54" t="s">
        <v>43</v>
      </c>
      <c r="V54" t="s">
        <v>43</v>
      </c>
      <c r="W54" t="s">
        <v>43</v>
      </c>
      <c r="X54" t="s">
        <v>43</v>
      </c>
      <c r="Y54" t="s">
        <v>43</v>
      </c>
      <c r="Z54" t="s">
        <v>43</v>
      </c>
      <c r="AA54" t="s">
        <v>43</v>
      </c>
      <c r="AB54" s="2" t="s">
        <v>43</v>
      </c>
      <c r="AC54" t="s">
        <v>43</v>
      </c>
      <c r="AD54" t="s">
        <v>43</v>
      </c>
      <c r="AE54" t="s">
        <v>43</v>
      </c>
      <c r="AF54" t="s">
        <v>43</v>
      </c>
      <c r="AG54" t="s">
        <v>43</v>
      </c>
      <c r="AH54" s="2" t="s">
        <v>43</v>
      </c>
    </row>
    <row r="55" spans="1:34" ht="45">
      <c r="A55" s="6" t="s">
        <v>390</v>
      </c>
      <c r="B55" s="7">
        <v>46097</v>
      </c>
      <c r="C55" s="9" t="str">
        <f>HYPERLINK("https://eping.wto.org/en/Search?viewData= G/SPS/N/TZA/521"," G/SPS/N/TZA/521")</f>
        <v xml:space="preserve"> G/SPS/N/TZA/521</v>
      </c>
      <c r="D55" s="8" t="s">
        <v>391</v>
      </c>
      <c r="E55" s="8" t="s">
        <v>392</v>
      </c>
      <c r="F55" s="8" t="s">
        <v>393</v>
      </c>
      <c r="G55" s="8" t="s">
        <v>394</v>
      </c>
      <c r="H55" s="8" t="s">
        <v>395</v>
      </c>
      <c r="I55" s="8" t="s">
        <v>58</v>
      </c>
      <c r="J55" s="8" t="s">
        <v>43</v>
      </c>
      <c r="K55" s="8" t="s">
        <v>157</v>
      </c>
      <c r="L55" s="6" t="s">
        <v>43</v>
      </c>
      <c r="M55" s="7">
        <v>46157</v>
      </c>
      <c r="N55" s="7" t="s">
        <v>396</v>
      </c>
      <c r="O55" s="7" t="s">
        <v>304</v>
      </c>
      <c r="P55" s="6" t="s">
        <v>62</v>
      </c>
      <c r="Q55" s="8" t="s">
        <v>397</v>
      </c>
      <c r="R55" t="str">
        <f>HYPERLINK("https://docs.wto.org/imrd/directdoc.asp?DDFDocuments/t/G/SPS/NTZA521.docx", "https://docs.wto.org/imrd/directdoc.asp?DDFDocuments/t/G/SPS/NTZA521.docx")</f>
        <v>https://docs.wto.org/imrd/directdoc.asp?DDFDocuments/t/G/SPS/NTZA521.docx</v>
      </c>
      <c r="S55" t="str">
        <f>HYPERLINK("https://docs.wto.org/imrd/directdoc.asp?DDFDocuments/u/G/SPS/NTZA521.docx", "https://docs.wto.org/imrd/directdoc.asp?DDFDocuments/u/G/SPS/NTZA521.docx")</f>
        <v>https://docs.wto.org/imrd/directdoc.asp?DDFDocuments/u/G/SPS/NTZA521.docx</v>
      </c>
      <c r="T55" t="str">
        <f>HYPERLINK("https://docs.wto.org/imrd/directdoc.asp?DDFDocuments/v/G/SPS/NTZA521.docx", "https://docs.wto.org/imrd/directdoc.asp?DDFDocuments/v/G/SPS/NTZA521.docx")</f>
        <v>https://docs.wto.org/imrd/directdoc.asp?DDFDocuments/v/G/SPS/NTZA521.docx</v>
      </c>
      <c r="U55" t="s">
        <v>43</v>
      </c>
      <c r="V55" t="s">
        <v>43</v>
      </c>
      <c r="W55" t="s">
        <v>43</v>
      </c>
      <c r="X55" t="s">
        <v>43</v>
      </c>
      <c r="Y55" t="s">
        <v>43</v>
      </c>
      <c r="Z55" t="s">
        <v>43</v>
      </c>
      <c r="AA55" t="s">
        <v>43</v>
      </c>
      <c r="AB55" s="2" t="s">
        <v>43</v>
      </c>
      <c r="AC55" t="s">
        <v>46</v>
      </c>
      <c r="AD55" t="s">
        <v>46</v>
      </c>
      <c r="AE55" t="s">
        <v>46</v>
      </c>
      <c r="AF55" t="s">
        <v>64</v>
      </c>
      <c r="AG55" t="s">
        <v>99</v>
      </c>
      <c r="AH55" s="2" t="s">
        <v>43</v>
      </c>
    </row>
    <row r="56" spans="1:34" ht="45">
      <c r="A56" s="6" t="s">
        <v>390</v>
      </c>
      <c r="B56" s="7">
        <v>46097</v>
      </c>
      <c r="C56" s="9" t="str">
        <f>HYPERLINK("https://eping.wto.org/en/Search?viewData= G/SPS/N/TZA/528"," G/SPS/N/TZA/528")</f>
        <v xml:space="preserve"> G/SPS/N/TZA/528</v>
      </c>
      <c r="D56" s="8" t="s">
        <v>398</v>
      </c>
      <c r="E56" s="8" t="s">
        <v>399</v>
      </c>
      <c r="F56" s="8" t="s">
        <v>400</v>
      </c>
      <c r="G56" s="8" t="s">
        <v>401</v>
      </c>
      <c r="H56" s="8" t="s">
        <v>395</v>
      </c>
      <c r="I56" s="8" t="s">
        <v>58</v>
      </c>
      <c r="J56" s="8" t="s">
        <v>43</v>
      </c>
      <c r="K56" s="8" t="s">
        <v>157</v>
      </c>
      <c r="L56" s="6" t="s">
        <v>43</v>
      </c>
      <c r="M56" s="7">
        <v>46157</v>
      </c>
      <c r="N56" s="7" t="s">
        <v>396</v>
      </c>
      <c r="O56" s="7" t="s">
        <v>304</v>
      </c>
      <c r="P56" s="6" t="s">
        <v>62</v>
      </c>
      <c r="Q56" s="8" t="s">
        <v>402</v>
      </c>
      <c r="R56" t="str">
        <f>HYPERLINK("https://docs.wto.org/imrd/directdoc.asp?DDFDocuments/t/G/SPS/NTZA528.docx", "https://docs.wto.org/imrd/directdoc.asp?DDFDocuments/t/G/SPS/NTZA528.docx")</f>
        <v>https://docs.wto.org/imrd/directdoc.asp?DDFDocuments/t/G/SPS/NTZA528.docx</v>
      </c>
      <c r="S56" t="str">
        <f>HYPERLINK("https://docs.wto.org/imrd/directdoc.asp?DDFDocuments/u/G/SPS/NTZA528.docx", "https://docs.wto.org/imrd/directdoc.asp?DDFDocuments/u/G/SPS/NTZA528.docx")</f>
        <v>https://docs.wto.org/imrd/directdoc.asp?DDFDocuments/u/G/SPS/NTZA528.docx</v>
      </c>
      <c r="T56" t="str">
        <f>HYPERLINK("https://docs.wto.org/imrd/directdoc.asp?DDFDocuments/v/G/SPS/NTZA528.docx", "https://docs.wto.org/imrd/directdoc.asp?DDFDocuments/v/G/SPS/NTZA528.docx")</f>
        <v>https://docs.wto.org/imrd/directdoc.asp?DDFDocuments/v/G/SPS/NTZA528.docx</v>
      </c>
      <c r="U56" t="s">
        <v>43</v>
      </c>
      <c r="V56" t="s">
        <v>43</v>
      </c>
      <c r="W56" t="s">
        <v>43</v>
      </c>
      <c r="X56" t="s">
        <v>43</v>
      </c>
      <c r="Y56" t="s">
        <v>43</v>
      </c>
      <c r="Z56" t="s">
        <v>43</v>
      </c>
      <c r="AA56" t="s">
        <v>43</v>
      </c>
      <c r="AB56" s="2" t="s">
        <v>43</v>
      </c>
      <c r="AC56" t="s">
        <v>46</v>
      </c>
      <c r="AD56" t="s">
        <v>46</v>
      </c>
      <c r="AE56" t="s">
        <v>46</v>
      </c>
      <c r="AF56" t="s">
        <v>64</v>
      </c>
      <c r="AG56" t="s">
        <v>99</v>
      </c>
      <c r="AH56" s="2" t="s">
        <v>43</v>
      </c>
    </row>
    <row r="57" spans="1:34" ht="60">
      <c r="A57" s="6" t="s">
        <v>289</v>
      </c>
      <c r="B57" s="7">
        <v>46097</v>
      </c>
      <c r="C57" s="9" t="str">
        <f>HYPERLINK("https://eping.wto.org/en/Search?viewData= G/TBT/N/BRA/964/Add.2/Corr.2"," G/TBT/N/BRA/964/Add.2/Corr.2")</f>
        <v xml:space="preserve"> G/TBT/N/BRA/964/Add.2/Corr.2</v>
      </c>
      <c r="D57" s="8" t="s">
        <v>403</v>
      </c>
      <c r="E57" s="8" t="s">
        <v>404</v>
      </c>
      <c r="F57" s="8" t="s">
        <v>405</v>
      </c>
      <c r="G57" s="8" t="s">
        <v>406</v>
      </c>
      <c r="H57" s="8" t="s">
        <v>407</v>
      </c>
      <c r="I57" s="8" t="s">
        <v>129</v>
      </c>
      <c r="J57" s="8"/>
      <c r="K57" s="8" t="s">
        <v>43</v>
      </c>
      <c r="L57" s="6"/>
      <c r="M57" s="7" t="s">
        <v>43</v>
      </c>
      <c r="N57" s="7"/>
      <c r="O57" s="7"/>
      <c r="P57" s="6" t="s">
        <v>296</v>
      </c>
      <c r="Q57" s="6"/>
      <c r="R57" t="str">
        <f>HYPERLINK("https://docs.wto.org/imrd/directdoc.asp?DDFDocuments/t/G/TBTN20/BRA964A2C2.docx", "https://docs.wto.org/imrd/directdoc.asp?DDFDocuments/t/G/TBTN20/BRA964A2C2.docx")</f>
        <v>https://docs.wto.org/imrd/directdoc.asp?DDFDocuments/t/G/TBTN20/BRA964A2C2.docx</v>
      </c>
      <c r="S57" t="str">
        <f>HYPERLINK("https://docs.wto.org/imrd/directdoc.asp?DDFDocuments/u/G/TBTN20/BRA964A2C2.docx", "https://docs.wto.org/imrd/directdoc.asp?DDFDocuments/u/G/TBTN20/BRA964A2C2.docx")</f>
        <v>https://docs.wto.org/imrd/directdoc.asp?DDFDocuments/u/G/TBTN20/BRA964A2C2.docx</v>
      </c>
      <c r="T57" t="str">
        <f>HYPERLINK("https://docs.wto.org/imrd/directdoc.asp?DDFDocuments/v/G/TBTN20/BRA964A2C2.docx", "https://docs.wto.org/imrd/directdoc.asp?DDFDocuments/v/G/TBTN20/BRA964A2C2.docx")</f>
        <v>https://docs.wto.org/imrd/directdoc.asp?DDFDocuments/v/G/TBTN20/BRA964A2C2.docx</v>
      </c>
      <c r="U57" t="s">
        <v>64</v>
      </c>
      <c r="V57" t="s">
        <v>46</v>
      </c>
      <c r="W57" t="s">
        <v>46</v>
      </c>
      <c r="X57" t="s">
        <v>46</v>
      </c>
      <c r="Y57" t="s">
        <v>46</v>
      </c>
      <c r="Z57" t="s">
        <v>46</v>
      </c>
      <c r="AA57" t="s">
        <v>46</v>
      </c>
      <c r="AB57" s="2" t="s">
        <v>43</v>
      </c>
      <c r="AC57" t="s">
        <v>43</v>
      </c>
      <c r="AD57" t="s">
        <v>43</v>
      </c>
      <c r="AE57" t="s">
        <v>43</v>
      </c>
      <c r="AF57" t="s">
        <v>43</v>
      </c>
      <c r="AG57" t="s">
        <v>43</v>
      </c>
      <c r="AH57" s="2" t="s">
        <v>43</v>
      </c>
    </row>
    <row r="58" spans="1:34" ht="60">
      <c r="A58" s="6" t="s">
        <v>185</v>
      </c>
      <c r="B58" s="7">
        <v>46097</v>
      </c>
      <c r="C58" s="9" t="str">
        <f>HYPERLINK("https://eping.wto.org/en/Search?viewData= G/TBT/N/CHN/2220"," G/TBT/N/CHN/2220")</f>
        <v xml:space="preserve"> G/TBT/N/CHN/2220</v>
      </c>
      <c r="D58" s="8" t="s">
        <v>408</v>
      </c>
      <c r="E58" s="8" t="s">
        <v>409</v>
      </c>
      <c r="F58" s="8" t="s">
        <v>410</v>
      </c>
      <c r="G58" s="8" t="s">
        <v>411</v>
      </c>
      <c r="H58" s="8" t="s">
        <v>412</v>
      </c>
      <c r="I58" s="8" t="s">
        <v>413</v>
      </c>
      <c r="J58" s="8" t="s">
        <v>43</v>
      </c>
      <c r="K58" s="8" t="s">
        <v>43</v>
      </c>
      <c r="L58" s="6"/>
      <c r="M58" s="7">
        <v>46157</v>
      </c>
      <c r="N58" s="7" t="s">
        <v>79</v>
      </c>
      <c r="O58" s="7" t="s">
        <v>414</v>
      </c>
      <c r="P58" s="6" t="s">
        <v>62</v>
      </c>
      <c r="Q58" s="8" t="s">
        <v>415</v>
      </c>
      <c r="R58" t="str">
        <f>HYPERLINK("https://docs.wto.org/imrd/directdoc.asp?DDFDocuments/t/G/TBTN26/CHN2220.docx", "https://docs.wto.org/imrd/directdoc.asp?DDFDocuments/t/G/TBTN26/CHN2220.docx")</f>
        <v>https://docs.wto.org/imrd/directdoc.asp?DDFDocuments/t/G/TBTN26/CHN2220.docx</v>
      </c>
      <c r="S58" t="str">
        <f>HYPERLINK("https://docs.wto.org/imrd/directdoc.asp?DDFDocuments/u/G/TBTN26/CHN2220.docx", "https://docs.wto.org/imrd/directdoc.asp?DDFDocuments/u/G/TBTN26/CHN2220.docx")</f>
        <v>https://docs.wto.org/imrd/directdoc.asp?DDFDocuments/u/G/TBTN26/CHN2220.docx</v>
      </c>
      <c r="T58" t="str">
        <f>HYPERLINK("https://docs.wto.org/imrd/directdoc.asp?DDFDocuments/v/G/TBTN26/CHN2220.docx", "https://docs.wto.org/imrd/directdoc.asp?DDFDocuments/v/G/TBTN26/CHN2220.docx")</f>
        <v>https://docs.wto.org/imrd/directdoc.asp?DDFDocuments/v/G/TBTN26/CHN2220.docx</v>
      </c>
      <c r="U58" t="s">
        <v>46</v>
      </c>
      <c r="V58" t="s">
        <v>46</v>
      </c>
      <c r="W58" t="s">
        <v>64</v>
      </c>
      <c r="X58" t="s">
        <v>46</v>
      </c>
      <c r="Y58" t="s">
        <v>46</v>
      </c>
      <c r="Z58" t="s">
        <v>46</v>
      </c>
      <c r="AA58" t="s">
        <v>46</v>
      </c>
      <c r="AB58" s="2" t="s">
        <v>43</v>
      </c>
      <c r="AC58" t="s">
        <v>43</v>
      </c>
      <c r="AD58" t="s">
        <v>43</v>
      </c>
      <c r="AE58" t="s">
        <v>43</v>
      </c>
      <c r="AF58" t="s">
        <v>43</v>
      </c>
      <c r="AG58" t="s">
        <v>43</v>
      </c>
      <c r="AH58" s="2" t="s">
        <v>43</v>
      </c>
    </row>
    <row r="59" spans="1:34" ht="195">
      <c r="A59" s="6" t="s">
        <v>89</v>
      </c>
      <c r="B59" s="7">
        <v>46097</v>
      </c>
      <c r="C59" s="9" t="str">
        <f>HYPERLINK("https://eping.wto.org/en/Search?viewData= G/TBT/N/CRI/193/Add.20"," G/TBT/N/CRI/193/Add.20")</f>
        <v xml:space="preserve"> G/TBT/N/CRI/193/Add.20</v>
      </c>
      <c r="D59" s="8" t="s">
        <v>416</v>
      </c>
      <c r="E59" s="8" t="s">
        <v>417</v>
      </c>
      <c r="F59" s="8" t="s">
        <v>418</v>
      </c>
      <c r="G59" s="8" t="s">
        <v>43</v>
      </c>
      <c r="H59" s="8" t="s">
        <v>419</v>
      </c>
      <c r="I59" s="8" t="s">
        <v>420</v>
      </c>
      <c r="J59" s="8" t="s">
        <v>421</v>
      </c>
      <c r="K59" s="8" t="s">
        <v>43</v>
      </c>
      <c r="L59" s="6"/>
      <c r="M59" s="7" t="s">
        <v>43</v>
      </c>
      <c r="N59" s="7"/>
      <c r="O59" s="7"/>
      <c r="P59" s="6" t="s">
        <v>44</v>
      </c>
      <c r="Q59" s="8" t="s">
        <v>422</v>
      </c>
      <c r="R59" t="str">
        <f>HYPERLINK("https://docs.wto.org/imrd/directdoc.asp?DDFDocuments/t/G/TBTN21/CRI193A20.docx", "https://docs.wto.org/imrd/directdoc.asp?DDFDocuments/t/G/TBTN21/CRI193A20.docx")</f>
        <v>https://docs.wto.org/imrd/directdoc.asp?DDFDocuments/t/G/TBTN21/CRI193A20.docx</v>
      </c>
      <c r="S59" t="str">
        <f>HYPERLINK("https://docs.wto.org/imrd/directdoc.asp?DDFDocuments/u/G/TBTN21/CRI193A20.docx", "https://docs.wto.org/imrd/directdoc.asp?DDFDocuments/u/G/TBTN21/CRI193A20.docx")</f>
        <v>https://docs.wto.org/imrd/directdoc.asp?DDFDocuments/u/G/TBTN21/CRI193A20.docx</v>
      </c>
      <c r="T59" t="str">
        <f>HYPERLINK("https://docs.wto.org/imrd/directdoc.asp?DDFDocuments/v/G/TBTN21/CRI193A20.docx", "https://docs.wto.org/imrd/directdoc.asp?DDFDocuments/v/G/TBTN21/CRI193A20.docx")</f>
        <v>https://docs.wto.org/imrd/directdoc.asp?DDFDocuments/v/G/TBTN21/CRI193A20.docx</v>
      </c>
      <c r="U59" t="s">
        <v>64</v>
      </c>
      <c r="V59" t="s">
        <v>46</v>
      </c>
      <c r="W59" t="s">
        <v>46</v>
      </c>
      <c r="X59" t="s">
        <v>46</v>
      </c>
      <c r="Y59" t="s">
        <v>46</v>
      </c>
      <c r="Z59" t="s">
        <v>46</v>
      </c>
      <c r="AA59" t="s">
        <v>46</v>
      </c>
      <c r="AB59" s="2" t="s">
        <v>43</v>
      </c>
      <c r="AC59" t="s">
        <v>43</v>
      </c>
      <c r="AD59" t="s">
        <v>43</v>
      </c>
      <c r="AE59" t="s">
        <v>43</v>
      </c>
      <c r="AF59" t="s">
        <v>43</v>
      </c>
      <c r="AG59" t="s">
        <v>43</v>
      </c>
      <c r="AH59" s="2" t="s">
        <v>43</v>
      </c>
    </row>
    <row r="60" spans="1:34" ht="45">
      <c r="A60" s="6" t="s">
        <v>390</v>
      </c>
      <c r="B60" s="7">
        <v>46097</v>
      </c>
      <c r="C60" s="9" t="str">
        <f>HYPERLINK("https://eping.wto.org/en/Search?viewData= G/SPS/N/TZA/527"," G/SPS/N/TZA/527")</f>
        <v xml:space="preserve"> G/SPS/N/TZA/527</v>
      </c>
      <c r="D60" s="8" t="s">
        <v>423</v>
      </c>
      <c r="E60" s="8" t="s">
        <v>424</v>
      </c>
      <c r="F60" s="8" t="s">
        <v>400</v>
      </c>
      <c r="G60" s="8" t="s">
        <v>425</v>
      </c>
      <c r="H60" s="8" t="s">
        <v>395</v>
      </c>
      <c r="I60" s="8" t="s">
        <v>58</v>
      </c>
      <c r="J60" s="8" t="s">
        <v>43</v>
      </c>
      <c r="K60" s="8" t="s">
        <v>157</v>
      </c>
      <c r="L60" s="6" t="s">
        <v>43</v>
      </c>
      <c r="M60" s="7">
        <v>46157</v>
      </c>
      <c r="N60" s="7" t="s">
        <v>396</v>
      </c>
      <c r="O60" s="7" t="s">
        <v>304</v>
      </c>
      <c r="P60" s="6" t="s">
        <v>62</v>
      </c>
      <c r="Q60" s="8" t="s">
        <v>426</v>
      </c>
      <c r="R60" t="str">
        <f>HYPERLINK("https://docs.wto.org/imrd/directdoc.asp?DDFDocuments/t/G/SPS/NTZA527.docx", "https://docs.wto.org/imrd/directdoc.asp?DDFDocuments/t/G/SPS/NTZA527.docx")</f>
        <v>https://docs.wto.org/imrd/directdoc.asp?DDFDocuments/t/G/SPS/NTZA527.docx</v>
      </c>
      <c r="S60" t="str">
        <f>HYPERLINK("https://docs.wto.org/imrd/directdoc.asp?DDFDocuments/u/G/SPS/NTZA527.docx", "https://docs.wto.org/imrd/directdoc.asp?DDFDocuments/u/G/SPS/NTZA527.docx")</f>
        <v>https://docs.wto.org/imrd/directdoc.asp?DDFDocuments/u/G/SPS/NTZA527.docx</v>
      </c>
      <c r="T60" t="str">
        <f>HYPERLINK("https://docs.wto.org/imrd/directdoc.asp?DDFDocuments/v/G/SPS/NTZA527.docx", "https://docs.wto.org/imrd/directdoc.asp?DDFDocuments/v/G/SPS/NTZA527.docx")</f>
        <v>https://docs.wto.org/imrd/directdoc.asp?DDFDocuments/v/G/SPS/NTZA527.docx</v>
      </c>
      <c r="U60" t="s">
        <v>43</v>
      </c>
      <c r="V60" t="s">
        <v>43</v>
      </c>
      <c r="W60" t="s">
        <v>43</v>
      </c>
      <c r="X60" t="s">
        <v>43</v>
      </c>
      <c r="Y60" t="s">
        <v>43</v>
      </c>
      <c r="Z60" t="s">
        <v>43</v>
      </c>
      <c r="AA60" t="s">
        <v>43</v>
      </c>
      <c r="AB60" s="2" t="s">
        <v>43</v>
      </c>
      <c r="AC60" t="s">
        <v>46</v>
      </c>
      <c r="AD60" t="s">
        <v>46</v>
      </c>
      <c r="AE60" t="s">
        <v>46</v>
      </c>
      <c r="AF60" t="s">
        <v>64</v>
      </c>
      <c r="AG60" t="s">
        <v>99</v>
      </c>
      <c r="AH60" s="2" t="s">
        <v>43</v>
      </c>
    </row>
    <row r="61" spans="1:34" ht="30">
      <c r="A61" s="6" t="s">
        <v>390</v>
      </c>
      <c r="B61" s="7">
        <v>46097</v>
      </c>
      <c r="C61" s="9" t="str">
        <f>HYPERLINK("https://eping.wto.org/en/Search?viewData= G/SPS/N/TZA/523"," G/SPS/N/TZA/523")</f>
        <v xml:space="preserve"> G/SPS/N/TZA/523</v>
      </c>
      <c r="D61" s="8" t="s">
        <v>427</v>
      </c>
      <c r="E61" s="8" t="s">
        <v>428</v>
      </c>
      <c r="F61" s="8" t="s">
        <v>429</v>
      </c>
      <c r="G61" s="8" t="s">
        <v>430</v>
      </c>
      <c r="H61" s="8" t="s">
        <v>431</v>
      </c>
      <c r="I61" s="8" t="s">
        <v>58</v>
      </c>
      <c r="J61" s="8" t="s">
        <v>43</v>
      </c>
      <c r="K61" s="8" t="s">
        <v>157</v>
      </c>
      <c r="L61" s="6" t="s">
        <v>43</v>
      </c>
      <c r="M61" s="7">
        <v>46157</v>
      </c>
      <c r="N61" s="7" t="s">
        <v>396</v>
      </c>
      <c r="O61" s="7" t="s">
        <v>304</v>
      </c>
      <c r="P61" s="6" t="s">
        <v>62</v>
      </c>
      <c r="Q61" s="8" t="s">
        <v>432</v>
      </c>
      <c r="R61" t="str">
        <f>HYPERLINK("https://docs.wto.org/imrd/directdoc.asp?DDFDocuments/t/G/SPS/NTZA523.docx", "https://docs.wto.org/imrd/directdoc.asp?DDFDocuments/t/G/SPS/NTZA523.docx")</f>
        <v>https://docs.wto.org/imrd/directdoc.asp?DDFDocuments/t/G/SPS/NTZA523.docx</v>
      </c>
      <c r="S61" t="str">
        <f>HYPERLINK("https://docs.wto.org/imrd/directdoc.asp?DDFDocuments/u/G/SPS/NTZA523.docx", "https://docs.wto.org/imrd/directdoc.asp?DDFDocuments/u/G/SPS/NTZA523.docx")</f>
        <v>https://docs.wto.org/imrd/directdoc.asp?DDFDocuments/u/G/SPS/NTZA523.docx</v>
      </c>
      <c r="T61" t="str">
        <f>HYPERLINK("https://docs.wto.org/imrd/directdoc.asp?DDFDocuments/v/G/SPS/NTZA523.docx", "https://docs.wto.org/imrd/directdoc.asp?DDFDocuments/v/G/SPS/NTZA523.docx")</f>
        <v>https://docs.wto.org/imrd/directdoc.asp?DDFDocuments/v/G/SPS/NTZA523.docx</v>
      </c>
      <c r="U61" t="s">
        <v>43</v>
      </c>
      <c r="V61" t="s">
        <v>43</v>
      </c>
      <c r="W61" t="s">
        <v>43</v>
      </c>
      <c r="X61" t="s">
        <v>43</v>
      </c>
      <c r="Y61" t="s">
        <v>43</v>
      </c>
      <c r="Z61" t="s">
        <v>43</v>
      </c>
      <c r="AA61" t="s">
        <v>43</v>
      </c>
      <c r="AB61" s="2" t="s">
        <v>43</v>
      </c>
      <c r="AC61" t="s">
        <v>46</v>
      </c>
      <c r="AD61" t="s">
        <v>46</v>
      </c>
      <c r="AE61" t="s">
        <v>46</v>
      </c>
      <c r="AF61" t="s">
        <v>64</v>
      </c>
      <c r="AG61" t="s">
        <v>99</v>
      </c>
      <c r="AH61" s="2" t="s">
        <v>43</v>
      </c>
    </row>
    <row r="62" spans="1:34" ht="45">
      <c r="A62" s="6" t="s">
        <v>185</v>
      </c>
      <c r="B62" s="7">
        <v>46097</v>
      </c>
      <c r="C62" s="9" t="str">
        <f>HYPERLINK("https://eping.wto.org/en/Search?viewData= G/TBT/N/CHN/2218"," G/TBT/N/CHN/2218")</f>
        <v xml:space="preserve"> G/TBT/N/CHN/2218</v>
      </c>
      <c r="D62" s="8" t="s">
        <v>433</v>
      </c>
      <c r="E62" s="8" t="s">
        <v>434</v>
      </c>
      <c r="F62" s="8" t="s">
        <v>435</v>
      </c>
      <c r="G62" s="8" t="s">
        <v>436</v>
      </c>
      <c r="H62" s="8" t="s">
        <v>412</v>
      </c>
      <c r="I62" s="8" t="s">
        <v>413</v>
      </c>
      <c r="J62" s="8" t="s">
        <v>43</v>
      </c>
      <c r="K62" s="8" t="s">
        <v>43</v>
      </c>
      <c r="L62" s="6"/>
      <c r="M62" s="7">
        <v>46157</v>
      </c>
      <c r="N62" s="7" t="s">
        <v>79</v>
      </c>
      <c r="O62" s="7" t="s">
        <v>414</v>
      </c>
      <c r="P62" s="6" t="s">
        <v>62</v>
      </c>
      <c r="Q62" s="8" t="s">
        <v>437</v>
      </c>
      <c r="R62" t="str">
        <f>HYPERLINK("https://docs.wto.org/imrd/directdoc.asp?DDFDocuments/t/G/TBTN26/CHN2218.docx", "https://docs.wto.org/imrd/directdoc.asp?DDFDocuments/t/G/TBTN26/CHN2218.docx")</f>
        <v>https://docs.wto.org/imrd/directdoc.asp?DDFDocuments/t/G/TBTN26/CHN2218.docx</v>
      </c>
      <c r="S62" t="str">
        <f>HYPERLINK("https://docs.wto.org/imrd/directdoc.asp?DDFDocuments/u/G/TBTN26/CHN2218.docx", "https://docs.wto.org/imrd/directdoc.asp?DDFDocuments/u/G/TBTN26/CHN2218.docx")</f>
        <v>https://docs.wto.org/imrd/directdoc.asp?DDFDocuments/u/G/TBTN26/CHN2218.docx</v>
      </c>
      <c r="T62" t="str">
        <f>HYPERLINK("https://docs.wto.org/imrd/directdoc.asp?DDFDocuments/v/G/TBTN26/CHN2218.docx", "https://docs.wto.org/imrd/directdoc.asp?DDFDocuments/v/G/TBTN26/CHN2218.docx")</f>
        <v>https://docs.wto.org/imrd/directdoc.asp?DDFDocuments/v/G/TBTN26/CHN2218.docx</v>
      </c>
      <c r="U62" t="s">
        <v>46</v>
      </c>
      <c r="V62" t="s">
        <v>46</v>
      </c>
      <c r="W62" t="s">
        <v>64</v>
      </c>
      <c r="X62" t="s">
        <v>46</v>
      </c>
      <c r="Y62" t="s">
        <v>46</v>
      </c>
      <c r="Z62" t="s">
        <v>46</v>
      </c>
      <c r="AA62" t="s">
        <v>46</v>
      </c>
      <c r="AB62" s="2" t="s">
        <v>43</v>
      </c>
      <c r="AC62" t="s">
        <v>43</v>
      </c>
      <c r="AD62" t="s">
        <v>43</v>
      </c>
      <c r="AE62" t="s">
        <v>43</v>
      </c>
      <c r="AF62" t="s">
        <v>43</v>
      </c>
      <c r="AG62" t="s">
        <v>43</v>
      </c>
      <c r="AH62" s="2" t="s">
        <v>43</v>
      </c>
    </row>
    <row r="63" spans="1:34" ht="60">
      <c r="A63" s="6" t="s">
        <v>185</v>
      </c>
      <c r="B63" s="7">
        <v>46097</v>
      </c>
      <c r="C63" s="9" t="str">
        <f>HYPERLINK("https://eping.wto.org/en/Search?viewData= G/TBT/N/CHN/2210"," G/TBT/N/CHN/2210")</f>
        <v xml:space="preserve"> G/TBT/N/CHN/2210</v>
      </c>
      <c r="D63" s="8" t="s">
        <v>438</v>
      </c>
      <c r="E63" s="8" t="s">
        <v>439</v>
      </c>
      <c r="F63" s="8" t="s">
        <v>440</v>
      </c>
      <c r="G63" s="8" t="s">
        <v>441</v>
      </c>
      <c r="H63" s="8" t="s">
        <v>442</v>
      </c>
      <c r="I63" s="8" t="s">
        <v>129</v>
      </c>
      <c r="J63" s="8" t="s">
        <v>43</v>
      </c>
      <c r="K63" s="8" t="s">
        <v>43</v>
      </c>
      <c r="L63" s="6"/>
      <c r="M63" s="7">
        <v>46157</v>
      </c>
      <c r="N63" s="7" t="s">
        <v>79</v>
      </c>
      <c r="O63" s="7" t="s">
        <v>79</v>
      </c>
      <c r="P63" s="6" t="s">
        <v>62</v>
      </c>
      <c r="Q63" s="8" t="s">
        <v>443</v>
      </c>
      <c r="R63" t="str">
        <f>HYPERLINK("https://docs.wto.org/imrd/directdoc.asp?DDFDocuments/t/G/TBTN26/CHN2210.docx", "https://docs.wto.org/imrd/directdoc.asp?DDFDocuments/t/G/TBTN26/CHN2210.docx")</f>
        <v>https://docs.wto.org/imrd/directdoc.asp?DDFDocuments/t/G/TBTN26/CHN2210.docx</v>
      </c>
      <c r="S63" t="str">
        <f>HYPERLINK("https://docs.wto.org/imrd/directdoc.asp?DDFDocuments/u/G/TBTN26/CHN2210.docx", "https://docs.wto.org/imrd/directdoc.asp?DDFDocuments/u/G/TBTN26/CHN2210.docx")</f>
        <v>https://docs.wto.org/imrd/directdoc.asp?DDFDocuments/u/G/TBTN26/CHN2210.docx</v>
      </c>
      <c r="T63" t="str">
        <f>HYPERLINK("https://docs.wto.org/imrd/directdoc.asp?DDFDocuments/v/G/TBTN26/CHN2210.docx", "https://docs.wto.org/imrd/directdoc.asp?DDFDocuments/v/G/TBTN26/CHN2210.docx")</f>
        <v>https://docs.wto.org/imrd/directdoc.asp?DDFDocuments/v/G/TBTN26/CHN2210.docx</v>
      </c>
      <c r="U63" t="s">
        <v>64</v>
      </c>
      <c r="V63" t="s">
        <v>46</v>
      </c>
      <c r="W63" t="s">
        <v>46</v>
      </c>
      <c r="X63" t="s">
        <v>46</v>
      </c>
      <c r="Y63" t="s">
        <v>46</v>
      </c>
      <c r="Z63" t="s">
        <v>46</v>
      </c>
      <c r="AA63" t="s">
        <v>46</v>
      </c>
      <c r="AB63" s="2" t="s">
        <v>43</v>
      </c>
      <c r="AC63" t="s">
        <v>43</v>
      </c>
      <c r="AD63" t="s">
        <v>43</v>
      </c>
      <c r="AE63" t="s">
        <v>43</v>
      </c>
      <c r="AF63" t="s">
        <v>43</v>
      </c>
      <c r="AG63" t="s">
        <v>43</v>
      </c>
      <c r="AH63" s="2" t="s">
        <v>43</v>
      </c>
    </row>
    <row r="64" spans="1:34" ht="60">
      <c r="A64" s="6" t="s">
        <v>185</v>
      </c>
      <c r="B64" s="7">
        <v>46097</v>
      </c>
      <c r="C64" s="9" t="str">
        <f>HYPERLINK("https://eping.wto.org/en/Search?viewData= G/TBT/N/CHN/2219"," G/TBT/N/CHN/2219")</f>
        <v xml:space="preserve"> G/TBT/N/CHN/2219</v>
      </c>
      <c r="D64" s="8" t="s">
        <v>444</v>
      </c>
      <c r="E64" s="8" t="s">
        <v>445</v>
      </c>
      <c r="F64" s="8" t="s">
        <v>446</v>
      </c>
      <c r="G64" s="8" t="s">
        <v>447</v>
      </c>
      <c r="H64" s="8" t="s">
        <v>412</v>
      </c>
      <c r="I64" s="8" t="s">
        <v>413</v>
      </c>
      <c r="J64" s="8" t="s">
        <v>43</v>
      </c>
      <c r="K64" s="8" t="s">
        <v>43</v>
      </c>
      <c r="L64" s="6"/>
      <c r="M64" s="7">
        <v>46157</v>
      </c>
      <c r="N64" s="7" t="s">
        <v>79</v>
      </c>
      <c r="O64" s="7" t="s">
        <v>414</v>
      </c>
      <c r="P64" s="6" t="s">
        <v>62</v>
      </c>
      <c r="Q64" s="8" t="s">
        <v>448</v>
      </c>
      <c r="R64" t="str">
        <f>HYPERLINK("https://docs.wto.org/imrd/directdoc.asp?DDFDocuments/t/G/TBTN26/CHN2219.docx", "https://docs.wto.org/imrd/directdoc.asp?DDFDocuments/t/G/TBTN26/CHN2219.docx")</f>
        <v>https://docs.wto.org/imrd/directdoc.asp?DDFDocuments/t/G/TBTN26/CHN2219.docx</v>
      </c>
      <c r="S64" t="str">
        <f>HYPERLINK("https://docs.wto.org/imrd/directdoc.asp?DDFDocuments/u/G/TBTN26/CHN2219.docx", "https://docs.wto.org/imrd/directdoc.asp?DDFDocuments/u/G/TBTN26/CHN2219.docx")</f>
        <v>https://docs.wto.org/imrd/directdoc.asp?DDFDocuments/u/G/TBTN26/CHN2219.docx</v>
      </c>
      <c r="T64" t="str">
        <f>HYPERLINK("https://docs.wto.org/imrd/directdoc.asp?DDFDocuments/v/G/TBTN26/CHN2219.docx", "https://docs.wto.org/imrd/directdoc.asp?DDFDocuments/v/G/TBTN26/CHN2219.docx")</f>
        <v>https://docs.wto.org/imrd/directdoc.asp?DDFDocuments/v/G/TBTN26/CHN2219.docx</v>
      </c>
      <c r="U64" t="s">
        <v>46</v>
      </c>
      <c r="V64" t="s">
        <v>46</v>
      </c>
      <c r="W64" t="s">
        <v>64</v>
      </c>
      <c r="X64" t="s">
        <v>46</v>
      </c>
      <c r="Y64" t="s">
        <v>46</v>
      </c>
      <c r="Z64" t="s">
        <v>46</v>
      </c>
      <c r="AA64" t="s">
        <v>46</v>
      </c>
      <c r="AB64" s="2" t="s">
        <v>43</v>
      </c>
      <c r="AC64" t="s">
        <v>43</v>
      </c>
      <c r="AD64" t="s">
        <v>43</v>
      </c>
      <c r="AE64" t="s">
        <v>43</v>
      </c>
      <c r="AF64" t="s">
        <v>43</v>
      </c>
      <c r="AG64" t="s">
        <v>43</v>
      </c>
      <c r="AH64" s="2" t="s">
        <v>43</v>
      </c>
    </row>
    <row r="65" spans="1:34" ht="60">
      <c r="A65" s="6" t="s">
        <v>124</v>
      </c>
      <c r="B65" s="7">
        <v>46097</v>
      </c>
      <c r="C65" s="9" t="str">
        <f>HYPERLINK("https://eping.wto.org/en/Search?viewData= G/SPS/N/BDI/148, G/SPS/N/KEN/356, G/SPS/N/RWA/141, G/SPS/N/TZA/524, G/SPS/N/UGA/469"," G/SPS/N/BDI/148, G/SPS/N/KEN/356, G/SPS/N/RWA/141, G/SPS/N/TZA/524, G/SPS/N/UGA/469")</f>
        <v xml:space="preserve"> G/SPS/N/BDI/148, G/SPS/N/KEN/356, G/SPS/N/RWA/141, G/SPS/N/TZA/524, G/SPS/N/UGA/469</v>
      </c>
      <c r="D65" s="8" t="s">
        <v>449</v>
      </c>
      <c r="E65" s="8" t="s">
        <v>450</v>
      </c>
      <c r="F65" s="8" t="s">
        <v>451</v>
      </c>
      <c r="G65" s="8" t="s">
        <v>452</v>
      </c>
      <c r="H65" s="8" t="s">
        <v>453</v>
      </c>
      <c r="I65" s="8" t="s">
        <v>58</v>
      </c>
      <c r="J65" s="8" t="s">
        <v>43</v>
      </c>
      <c r="K65" s="8" t="s">
        <v>157</v>
      </c>
      <c r="L65" s="6" t="s">
        <v>43</v>
      </c>
      <c r="M65" s="7">
        <v>46157</v>
      </c>
      <c r="N65" s="7" t="s">
        <v>396</v>
      </c>
      <c r="O65" s="7" t="s">
        <v>304</v>
      </c>
      <c r="P65" s="6" t="s">
        <v>62</v>
      </c>
      <c r="Q65" s="8" t="s">
        <v>454</v>
      </c>
      <c r="R65" t="str">
        <f>HYPERLINK("https://docs.wto.org/imrd/directdoc.asp?DDFDocuments/t/G/SPS/NBDI148.docx", "https://docs.wto.org/imrd/directdoc.asp?DDFDocuments/t/G/SPS/NBDI148.docx")</f>
        <v>https://docs.wto.org/imrd/directdoc.asp?DDFDocuments/t/G/SPS/NBDI148.docx</v>
      </c>
      <c r="S65" t="str">
        <f>HYPERLINK("https://docs.wto.org/imrd/directdoc.asp?DDFDocuments/u/G/SPS/NBDI148.docx", "https://docs.wto.org/imrd/directdoc.asp?DDFDocuments/u/G/SPS/NBDI148.docx")</f>
        <v>https://docs.wto.org/imrd/directdoc.asp?DDFDocuments/u/G/SPS/NBDI148.docx</v>
      </c>
      <c r="T65" t="str">
        <f>HYPERLINK("https://docs.wto.org/imrd/directdoc.asp?DDFDocuments/v/G/SPS/NBDI148.docx", "https://docs.wto.org/imrd/directdoc.asp?DDFDocuments/v/G/SPS/NBDI148.docx")</f>
        <v>https://docs.wto.org/imrd/directdoc.asp?DDFDocuments/v/G/SPS/NBDI148.docx</v>
      </c>
      <c r="U65" t="s">
        <v>43</v>
      </c>
      <c r="V65" t="s">
        <v>43</v>
      </c>
      <c r="W65" t="s">
        <v>43</v>
      </c>
      <c r="X65" t="s">
        <v>43</v>
      </c>
      <c r="Y65" t="s">
        <v>43</v>
      </c>
      <c r="Z65" t="s">
        <v>43</v>
      </c>
      <c r="AA65" t="s">
        <v>43</v>
      </c>
      <c r="AB65" s="2" t="s">
        <v>43</v>
      </c>
      <c r="AC65" t="s">
        <v>46</v>
      </c>
      <c r="AD65" t="s">
        <v>46</v>
      </c>
      <c r="AE65" t="s">
        <v>46</v>
      </c>
      <c r="AF65" t="s">
        <v>64</v>
      </c>
      <c r="AG65" t="s">
        <v>99</v>
      </c>
      <c r="AH65" s="2" t="s">
        <v>43</v>
      </c>
    </row>
    <row r="66" spans="1:34" ht="60">
      <c r="A66" s="6" t="s">
        <v>108</v>
      </c>
      <c r="B66" s="7">
        <v>46097</v>
      </c>
      <c r="C66" s="9" t="str">
        <f>HYPERLINK("https://eping.wto.org/en/Search?viewData= G/SPS/N/BDI/148, G/SPS/N/KEN/356, G/SPS/N/RWA/141, G/SPS/N/TZA/524, G/SPS/N/UGA/469"," G/SPS/N/BDI/148, G/SPS/N/KEN/356, G/SPS/N/RWA/141, G/SPS/N/TZA/524, G/SPS/N/UGA/469")</f>
        <v xml:space="preserve"> G/SPS/N/BDI/148, G/SPS/N/KEN/356, G/SPS/N/RWA/141, G/SPS/N/TZA/524, G/SPS/N/UGA/469</v>
      </c>
      <c r="D66" s="8" t="s">
        <v>449</v>
      </c>
      <c r="E66" s="8" t="s">
        <v>450</v>
      </c>
      <c r="F66" s="8" t="s">
        <v>451</v>
      </c>
      <c r="G66" s="8" t="s">
        <v>452</v>
      </c>
      <c r="H66" s="8" t="s">
        <v>453</v>
      </c>
      <c r="I66" s="8" t="s">
        <v>58</v>
      </c>
      <c r="J66" s="8" t="s">
        <v>43</v>
      </c>
      <c r="K66" s="8" t="s">
        <v>157</v>
      </c>
      <c r="L66" s="6" t="s">
        <v>43</v>
      </c>
      <c r="M66" s="7">
        <v>46157</v>
      </c>
      <c r="N66" s="7" t="s">
        <v>396</v>
      </c>
      <c r="O66" s="7" t="s">
        <v>304</v>
      </c>
      <c r="P66" s="6" t="s">
        <v>62</v>
      </c>
      <c r="Q66" s="8" t="s">
        <v>454</v>
      </c>
      <c r="R66" t="str">
        <f>HYPERLINK("https://docs.wto.org/imrd/directdoc.asp?DDFDocuments/t/G/SPS/NBDI148.docx", "https://docs.wto.org/imrd/directdoc.asp?DDFDocuments/t/G/SPS/NBDI148.docx")</f>
        <v>https://docs.wto.org/imrd/directdoc.asp?DDFDocuments/t/G/SPS/NBDI148.docx</v>
      </c>
      <c r="S66" t="str">
        <f>HYPERLINK("https://docs.wto.org/imrd/directdoc.asp?DDFDocuments/u/G/SPS/NBDI148.docx", "https://docs.wto.org/imrd/directdoc.asp?DDFDocuments/u/G/SPS/NBDI148.docx")</f>
        <v>https://docs.wto.org/imrd/directdoc.asp?DDFDocuments/u/G/SPS/NBDI148.docx</v>
      </c>
      <c r="T66" t="str">
        <f>HYPERLINK("https://docs.wto.org/imrd/directdoc.asp?DDFDocuments/v/G/SPS/NBDI148.docx", "https://docs.wto.org/imrd/directdoc.asp?DDFDocuments/v/G/SPS/NBDI148.docx")</f>
        <v>https://docs.wto.org/imrd/directdoc.asp?DDFDocuments/v/G/SPS/NBDI148.docx</v>
      </c>
      <c r="U66" t="s">
        <v>43</v>
      </c>
      <c r="V66" t="s">
        <v>43</v>
      </c>
      <c r="W66" t="s">
        <v>43</v>
      </c>
      <c r="X66" t="s">
        <v>43</v>
      </c>
      <c r="Y66" t="s">
        <v>43</v>
      </c>
      <c r="Z66" t="s">
        <v>43</v>
      </c>
      <c r="AA66" t="s">
        <v>43</v>
      </c>
      <c r="AB66" s="2" t="s">
        <v>43</v>
      </c>
      <c r="AC66" t="s">
        <v>46</v>
      </c>
      <c r="AD66" t="s">
        <v>46</v>
      </c>
      <c r="AE66" t="s">
        <v>46</v>
      </c>
      <c r="AF66" t="s">
        <v>64</v>
      </c>
      <c r="AG66" t="s">
        <v>99</v>
      </c>
      <c r="AH66" s="2" t="s">
        <v>43</v>
      </c>
    </row>
    <row r="67" spans="1:34" ht="45">
      <c r="A67" s="6" t="s">
        <v>390</v>
      </c>
      <c r="B67" s="7">
        <v>46097</v>
      </c>
      <c r="C67" s="9" t="str">
        <f>HYPERLINK("https://eping.wto.org/en/Search?viewData= G/SPS/N/TZA/520"," G/SPS/N/TZA/520")</f>
        <v xml:space="preserve"> G/SPS/N/TZA/520</v>
      </c>
      <c r="D67" s="8" t="s">
        <v>455</v>
      </c>
      <c r="E67" s="8" t="s">
        <v>456</v>
      </c>
      <c r="F67" s="8" t="s">
        <v>457</v>
      </c>
      <c r="G67" s="8" t="s">
        <v>458</v>
      </c>
      <c r="H67" s="8" t="s">
        <v>459</v>
      </c>
      <c r="I67" s="8" t="s">
        <v>58</v>
      </c>
      <c r="J67" s="8" t="s">
        <v>43</v>
      </c>
      <c r="K67" s="8" t="s">
        <v>157</v>
      </c>
      <c r="L67" s="6" t="s">
        <v>43</v>
      </c>
      <c r="M67" s="7">
        <v>46157</v>
      </c>
      <c r="N67" s="7" t="s">
        <v>396</v>
      </c>
      <c r="O67" s="7" t="s">
        <v>304</v>
      </c>
      <c r="P67" s="6" t="s">
        <v>62</v>
      </c>
      <c r="Q67" s="8" t="s">
        <v>460</v>
      </c>
      <c r="R67" t="str">
        <f>HYPERLINK("https://docs.wto.org/imrd/directdoc.asp?DDFDocuments/t/G/SPS/NTZA520.docx", "https://docs.wto.org/imrd/directdoc.asp?DDFDocuments/t/G/SPS/NTZA520.docx")</f>
        <v>https://docs.wto.org/imrd/directdoc.asp?DDFDocuments/t/G/SPS/NTZA520.docx</v>
      </c>
      <c r="S67" t="str">
        <f>HYPERLINK("https://docs.wto.org/imrd/directdoc.asp?DDFDocuments/u/G/SPS/NTZA520.docx", "https://docs.wto.org/imrd/directdoc.asp?DDFDocuments/u/G/SPS/NTZA520.docx")</f>
        <v>https://docs.wto.org/imrd/directdoc.asp?DDFDocuments/u/G/SPS/NTZA520.docx</v>
      </c>
      <c r="T67" t="str">
        <f>HYPERLINK("https://docs.wto.org/imrd/directdoc.asp?DDFDocuments/v/G/SPS/NTZA520.docx", "https://docs.wto.org/imrd/directdoc.asp?DDFDocuments/v/G/SPS/NTZA520.docx")</f>
        <v>https://docs.wto.org/imrd/directdoc.asp?DDFDocuments/v/G/SPS/NTZA520.docx</v>
      </c>
      <c r="U67" t="s">
        <v>43</v>
      </c>
      <c r="V67" t="s">
        <v>43</v>
      </c>
      <c r="W67" t="s">
        <v>43</v>
      </c>
      <c r="X67" t="s">
        <v>43</v>
      </c>
      <c r="Y67" t="s">
        <v>43</v>
      </c>
      <c r="Z67" t="s">
        <v>43</v>
      </c>
      <c r="AA67" t="s">
        <v>43</v>
      </c>
      <c r="AB67" s="2" t="s">
        <v>43</v>
      </c>
      <c r="AC67" t="s">
        <v>46</v>
      </c>
      <c r="AD67" t="s">
        <v>46</v>
      </c>
      <c r="AE67" t="s">
        <v>46</v>
      </c>
      <c r="AF67" t="s">
        <v>64</v>
      </c>
      <c r="AG67" t="s">
        <v>99</v>
      </c>
      <c r="AH67" s="2" t="s">
        <v>43</v>
      </c>
    </row>
    <row r="68" spans="1:34" ht="75">
      <c r="A68" s="6" t="s">
        <v>185</v>
      </c>
      <c r="B68" s="7">
        <v>46097</v>
      </c>
      <c r="C68" s="9" t="str">
        <f>HYPERLINK("https://eping.wto.org/en/Search?viewData= G/TBT/N/CHN/2205"," G/TBT/N/CHN/2205")</f>
        <v xml:space="preserve"> G/TBT/N/CHN/2205</v>
      </c>
      <c r="D68" s="8" t="s">
        <v>461</v>
      </c>
      <c r="E68" s="8" t="s">
        <v>462</v>
      </c>
      <c r="F68" s="8" t="s">
        <v>463</v>
      </c>
      <c r="G68" s="8" t="s">
        <v>464</v>
      </c>
      <c r="H68" s="8" t="s">
        <v>465</v>
      </c>
      <c r="I68" s="8" t="s">
        <v>413</v>
      </c>
      <c r="J68" s="8" t="s">
        <v>43</v>
      </c>
      <c r="K68" s="8" t="s">
        <v>43</v>
      </c>
      <c r="L68" s="6"/>
      <c r="M68" s="7">
        <v>46127</v>
      </c>
      <c r="N68" s="7" t="s">
        <v>79</v>
      </c>
      <c r="O68" s="7" t="s">
        <v>192</v>
      </c>
      <c r="P68" s="6" t="s">
        <v>62</v>
      </c>
      <c r="Q68" s="8" t="s">
        <v>466</v>
      </c>
      <c r="R68" t="str">
        <f>HYPERLINK("https://docs.wto.org/imrd/directdoc.asp?DDFDocuments/t/G/TBTN26/CHN2205.docx", "https://docs.wto.org/imrd/directdoc.asp?DDFDocuments/t/G/TBTN26/CHN2205.docx")</f>
        <v>https://docs.wto.org/imrd/directdoc.asp?DDFDocuments/t/G/TBTN26/CHN2205.docx</v>
      </c>
      <c r="S68" t="str">
        <f>HYPERLINK("https://docs.wto.org/imrd/directdoc.asp?DDFDocuments/u/G/TBTN26/CHN2205.docx", "https://docs.wto.org/imrd/directdoc.asp?DDFDocuments/u/G/TBTN26/CHN2205.docx")</f>
        <v>https://docs.wto.org/imrd/directdoc.asp?DDFDocuments/u/G/TBTN26/CHN2205.docx</v>
      </c>
      <c r="T68" t="str">
        <f>HYPERLINK("https://docs.wto.org/imrd/directdoc.asp?DDFDocuments/v/G/TBTN26/CHN2205.docx", "https://docs.wto.org/imrd/directdoc.asp?DDFDocuments/v/G/TBTN26/CHN2205.docx")</f>
        <v>https://docs.wto.org/imrd/directdoc.asp?DDFDocuments/v/G/TBTN26/CHN2205.docx</v>
      </c>
      <c r="U68" t="s">
        <v>64</v>
      </c>
      <c r="V68" t="s">
        <v>46</v>
      </c>
      <c r="W68" t="s">
        <v>46</v>
      </c>
      <c r="X68" t="s">
        <v>46</v>
      </c>
      <c r="Y68" t="s">
        <v>46</v>
      </c>
      <c r="Z68" t="s">
        <v>46</v>
      </c>
      <c r="AA68" t="s">
        <v>46</v>
      </c>
      <c r="AB68" s="2" t="s">
        <v>43</v>
      </c>
      <c r="AC68" t="s">
        <v>43</v>
      </c>
      <c r="AD68" t="s">
        <v>43</v>
      </c>
      <c r="AE68" t="s">
        <v>43</v>
      </c>
      <c r="AF68" t="s">
        <v>43</v>
      </c>
      <c r="AG68" t="s">
        <v>43</v>
      </c>
      <c r="AH68" s="2" t="s">
        <v>43</v>
      </c>
    </row>
    <row r="69" spans="1:34" ht="90">
      <c r="A69" s="6" t="s">
        <v>185</v>
      </c>
      <c r="B69" s="7">
        <v>46097</v>
      </c>
      <c r="C69" s="9" t="str">
        <f>HYPERLINK("https://eping.wto.org/en/Search?viewData= G/TBT/N/CHN/2232"," G/TBT/N/CHN/2232")</f>
        <v xml:space="preserve"> G/TBT/N/CHN/2232</v>
      </c>
      <c r="D69" s="8" t="s">
        <v>467</v>
      </c>
      <c r="E69" s="8" t="s">
        <v>468</v>
      </c>
      <c r="F69" s="8" t="s">
        <v>469</v>
      </c>
      <c r="G69" s="8" t="s">
        <v>470</v>
      </c>
      <c r="H69" s="8" t="s">
        <v>471</v>
      </c>
      <c r="I69" s="8" t="s">
        <v>472</v>
      </c>
      <c r="J69" s="8" t="s">
        <v>43</v>
      </c>
      <c r="K69" s="8" t="s">
        <v>43</v>
      </c>
      <c r="L69" s="6"/>
      <c r="M69" s="7">
        <v>46157</v>
      </c>
      <c r="N69" s="7" t="s">
        <v>79</v>
      </c>
      <c r="O69" s="7" t="s">
        <v>79</v>
      </c>
      <c r="P69" s="6" t="s">
        <v>62</v>
      </c>
      <c r="Q69" s="8" t="s">
        <v>473</v>
      </c>
      <c r="R69" t="str">
        <f>HYPERLINK("https://docs.wto.org/imrd/directdoc.asp?DDFDocuments/t/G/TBTN26/CHN2232.docx", "https://docs.wto.org/imrd/directdoc.asp?DDFDocuments/t/G/TBTN26/CHN2232.docx")</f>
        <v>https://docs.wto.org/imrd/directdoc.asp?DDFDocuments/t/G/TBTN26/CHN2232.docx</v>
      </c>
      <c r="S69" t="str">
        <f>HYPERLINK("https://docs.wto.org/imrd/directdoc.asp?DDFDocuments/u/G/TBTN26/CHN2232.docx", "https://docs.wto.org/imrd/directdoc.asp?DDFDocuments/u/G/TBTN26/CHN2232.docx")</f>
        <v>https://docs.wto.org/imrd/directdoc.asp?DDFDocuments/u/G/TBTN26/CHN2232.docx</v>
      </c>
      <c r="T69" t="str">
        <f>HYPERLINK("https://docs.wto.org/imrd/directdoc.asp?DDFDocuments/v/G/TBTN26/CHN2232.docx", "https://docs.wto.org/imrd/directdoc.asp?DDFDocuments/v/G/TBTN26/CHN2232.docx")</f>
        <v>https://docs.wto.org/imrd/directdoc.asp?DDFDocuments/v/G/TBTN26/CHN2232.docx</v>
      </c>
      <c r="U69" t="s">
        <v>64</v>
      </c>
      <c r="V69" t="s">
        <v>46</v>
      </c>
      <c r="W69" t="s">
        <v>46</v>
      </c>
      <c r="X69" t="s">
        <v>46</v>
      </c>
      <c r="Y69" t="s">
        <v>46</v>
      </c>
      <c r="Z69" t="s">
        <v>46</v>
      </c>
      <c r="AA69" t="s">
        <v>46</v>
      </c>
      <c r="AB69" s="2" t="s">
        <v>474</v>
      </c>
      <c r="AC69" t="s">
        <v>43</v>
      </c>
      <c r="AD69" t="s">
        <v>43</v>
      </c>
      <c r="AE69" t="s">
        <v>43</v>
      </c>
      <c r="AF69" t="s">
        <v>43</v>
      </c>
      <c r="AG69" t="s">
        <v>43</v>
      </c>
      <c r="AH69" s="2" t="s">
        <v>43</v>
      </c>
    </row>
    <row r="70" spans="1:34" ht="45">
      <c r="A70" s="6" t="s">
        <v>390</v>
      </c>
      <c r="B70" s="7">
        <v>46097</v>
      </c>
      <c r="C70" s="9" t="str">
        <f>HYPERLINK("https://eping.wto.org/en/Search?viewData= G/SPS/N/TZA/529"," G/SPS/N/TZA/529")</f>
        <v xml:space="preserve"> G/SPS/N/TZA/529</v>
      </c>
      <c r="D70" s="8" t="s">
        <v>475</v>
      </c>
      <c r="E70" s="8" t="s">
        <v>476</v>
      </c>
      <c r="F70" s="8" t="s">
        <v>477</v>
      </c>
      <c r="G70" s="8" t="s">
        <v>478</v>
      </c>
      <c r="H70" s="8" t="s">
        <v>479</v>
      </c>
      <c r="I70" s="8" t="s">
        <v>58</v>
      </c>
      <c r="J70" s="8" t="s">
        <v>43</v>
      </c>
      <c r="K70" s="8" t="s">
        <v>310</v>
      </c>
      <c r="L70" s="6" t="s">
        <v>43</v>
      </c>
      <c r="M70" s="7">
        <v>46157</v>
      </c>
      <c r="N70" s="7" t="s">
        <v>396</v>
      </c>
      <c r="O70" s="7" t="s">
        <v>304</v>
      </c>
      <c r="P70" s="6" t="s">
        <v>62</v>
      </c>
      <c r="Q70" s="8" t="s">
        <v>480</v>
      </c>
      <c r="R70" t="str">
        <f>HYPERLINK("https://docs.wto.org/imrd/directdoc.asp?DDFDocuments/t/G/SPS/NTZA529.docx", "https://docs.wto.org/imrd/directdoc.asp?DDFDocuments/t/G/SPS/NTZA529.docx")</f>
        <v>https://docs.wto.org/imrd/directdoc.asp?DDFDocuments/t/G/SPS/NTZA529.docx</v>
      </c>
      <c r="S70" t="str">
        <f>HYPERLINK("https://docs.wto.org/imrd/directdoc.asp?DDFDocuments/u/G/SPS/NTZA529.docx", "https://docs.wto.org/imrd/directdoc.asp?DDFDocuments/u/G/SPS/NTZA529.docx")</f>
        <v>https://docs.wto.org/imrd/directdoc.asp?DDFDocuments/u/G/SPS/NTZA529.docx</v>
      </c>
      <c r="T70" t="str">
        <f>HYPERLINK("https://docs.wto.org/imrd/directdoc.asp?DDFDocuments/v/G/SPS/NTZA529.docx", "https://docs.wto.org/imrd/directdoc.asp?DDFDocuments/v/G/SPS/NTZA529.docx")</f>
        <v>https://docs.wto.org/imrd/directdoc.asp?DDFDocuments/v/G/SPS/NTZA529.docx</v>
      </c>
      <c r="U70" t="s">
        <v>43</v>
      </c>
      <c r="V70" t="s">
        <v>43</v>
      </c>
      <c r="W70" t="s">
        <v>43</v>
      </c>
      <c r="X70" t="s">
        <v>43</v>
      </c>
      <c r="Y70" t="s">
        <v>43</v>
      </c>
      <c r="Z70" t="s">
        <v>43</v>
      </c>
      <c r="AA70" t="s">
        <v>43</v>
      </c>
      <c r="AB70" s="2" t="s">
        <v>43</v>
      </c>
      <c r="AC70" t="s">
        <v>46</v>
      </c>
      <c r="AD70" t="s">
        <v>46</v>
      </c>
      <c r="AE70" t="s">
        <v>46</v>
      </c>
      <c r="AF70" t="s">
        <v>64</v>
      </c>
      <c r="AG70" t="s">
        <v>99</v>
      </c>
      <c r="AH70" s="2" t="s">
        <v>43</v>
      </c>
    </row>
    <row r="71" spans="1:34" ht="180">
      <c r="A71" s="6" t="s">
        <v>356</v>
      </c>
      <c r="B71" s="7">
        <v>46097</v>
      </c>
      <c r="C71" s="9" t="str">
        <f>HYPERLINK("https://eping.wto.org/en/Search?viewData= G/SPS/N/EU/931"," G/SPS/N/EU/931")</f>
        <v xml:space="preserve"> G/SPS/N/EU/931</v>
      </c>
      <c r="D71" s="8" t="s">
        <v>481</v>
      </c>
      <c r="E71" s="8" t="s">
        <v>482</v>
      </c>
      <c r="F71" s="8" t="s">
        <v>483</v>
      </c>
      <c r="G71" s="8" t="s">
        <v>484</v>
      </c>
      <c r="H71" s="8" t="s">
        <v>43</v>
      </c>
      <c r="I71" s="8" t="s">
        <v>254</v>
      </c>
      <c r="J71" s="8" t="s">
        <v>43</v>
      </c>
      <c r="K71" s="8" t="s">
        <v>302</v>
      </c>
      <c r="L71" s="6"/>
      <c r="M71" s="7" t="s">
        <v>43</v>
      </c>
      <c r="N71" s="7" t="s">
        <v>485</v>
      </c>
      <c r="O71" s="7" t="s">
        <v>486</v>
      </c>
      <c r="P71" s="6" t="s">
        <v>62</v>
      </c>
      <c r="Q71" s="8" t="s">
        <v>487</v>
      </c>
      <c r="R71" t="str">
        <f>HYPERLINK("https://docs.wto.org/imrd/directdoc.asp?DDFDocuments/t/G/SPS/NEU931.docx", "https://docs.wto.org/imrd/directdoc.asp?DDFDocuments/t/G/SPS/NEU931.docx")</f>
        <v>https://docs.wto.org/imrd/directdoc.asp?DDFDocuments/t/G/SPS/NEU931.docx</v>
      </c>
      <c r="S71" t="str">
        <f>HYPERLINK("https://docs.wto.org/imrd/directdoc.asp?DDFDocuments/u/G/SPS/NEU931.docx", "https://docs.wto.org/imrd/directdoc.asp?DDFDocuments/u/G/SPS/NEU931.docx")</f>
        <v>https://docs.wto.org/imrd/directdoc.asp?DDFDocuments/u/G/SPS/NEU931.docx</v>
      </c>
      <c r="T71" t="str">
        <f>HYPERLINK("https://docs.wto.org/imrd/directdoc.asp?DDFDocuments/v/G/SPS/NEU931.docx", "https://docs.wto.org/imrd/directdoc.asp?DDFDocuments/v/G/SPS/NEU931.docx")</f>
        <v>https://docs.wto.org/imrd/directdoc.asp?DDFDocuments/v/G/SPS/NEU931.docx</v>
      </c>
      <c r="U71" t="s">
        <v>43</v>
      </c>
      <c r="V71" t="s">
        <v>43</v>
      </c>
      <c r="W71" t="s">
        <v>43</v>
      </c>
      <c r="X71" t="s">
        <v>43</v>
      </c>
      <c r="Y71" t="s">
        <v>43</v>
      </c>
      <c r="Z71" t="s">
        <v>43</v>
      </c>
      <c r="AA71" t="s">
        <v>43</v>
      </c>
      <c r="AB71" s="2" t="s">
        <v>43</v>
      </c>
      <c r="AC71" t="s">
        <v>46</v>
      </c>
      <c r="AD71" t="s">
        <v>46</v>
      </c>
      <c r="AE71" t="s">
        <v>64</v>
      </c>
      <c r="AF71" t="s">
        <v>46</v>
      </c>
      <c r="AG71" t="s">
        <v>64</v>
      </c>
      <c r="AH71" s="2" t="s">
        <v>43</v>
      </c>
    </row>
    <row r="72" spans="1:34" ht="60">
      <c r="A72" s="6" t="s">
        <v>488</v>
      </c>
      <c r="B72" s="7">
        <v>46097</v>
      </c>
      <c r="C72" s="9" t="str">
        <f>HYPERLINK("https://eping.wto.org/en/Search?viewData= G/SPS/N/ZAF/90"," G/SPS/N/ZAF/90")</f>
        <v xml:space="preserve"> G/SPS/N/ZAF/90</v>
      </c>
      <c r="D72" s="8" t="s">
        <v>489</v>
      </c>
      <c r="E72" s="8" t="s">
        <v>490</v>
      </c>
      <c r="F72" s="8" t="s">
        <v>491</v>
      </c>
      <c r="G72" s="8" t="s">
        <v>492</v>
      </c>
      <c r="H72" s="8" t="s">
        <v>43</v>
      </c>
      <c r="I72" s="8" t="s">
        <v>104</v>
      </c>
      <c r="J72" s="8" t="s">
        <v>43</v>
      </c>
      <c r="K72" s="8" t="s">
        <v>493</v>
      </c>
      <c r="L72" s="6" t="s">
        <v>43</v>
      </c>
      <c r="M72" s="7">
        <v>46157</v>
      </c>
      <c r="N72" s="7" t="s">
        <v>494</v>
      </c>
      <c r="O72" s="7" t="s">
        <v>495</v>
      </c>
      <c r="P72" s="6" t="s">
        <v>62</v>
      </c>
      <c r="Q72" s="8" t="s">
        <v>496</v>
      </c>
      <c r="R72" t="str">
        <f>HYPERLINK("https://docs.wto.org/imrd/directdoc.asp?DDFDocuments/t/G/SPS/NZAF90.docx", "https://docs.wto.org/imrd/directdoc.asp?DDFDocuments/t/G/SPS/NZAF90.docx")</f>
        <v>https://docs.wto.org/imrd/directdoc.asp?DDFDocuments/t/G/SPS/NZAF90.docx</v>
      </c>
      <c r="S72" t="str">
        <f>HYPERLINK("https://docs.wto.org/imrd/directdoc.asp?DDFDocuments/u/G/SPS/NZAF90.docx", "https://docs.wto.org/imrd/directdoc.asp?DDFDocuments/u/G/SPS/NZAF90.docx")</f>
        <v>https://docs.wto.org/imrd/directdoc.asp?DDFDocuments/u/G/SPS/NZAF90.docx</v>
      </c>
      <c r="T72" t="str">
        <f>HYPERLINK("https://docs.wto.org/imrd/directdoc.asp?DDFDocuments/v/G/SPS/NZAF90.docx", "https://docs.wto.org/imrd/directdoc.asp?DDFDocuments/v/G/SPS/NZAF90.docx")</f>
        <v>https://docs.wto.org/imrd/directdoc.asp?DDFDocuments/v/G/SPS/NZAF90.docx</v>
      </c>
      <c r="U72" t="s">
        <v>43</v>
      </c>
      <c r="V72" t="s">
        <v>43</v>
      </c>
      <c r="W72" t="s">
        <v>43</v>
      </c>
      <c r="X72" t="s">
        <v>43</v>
      </c>
      <c r="Y72" t="s">
        <v>43</v>
      </c>
      <c r="Z72" t="s">
        <v>43</v>
      </c>
      <c r="AA72" t="s">
        <v>43</v>
      </c>
      <c r="AB72" s="2" t="s">
        <v>43</v>
      </c>
      <c r="AC72" t="s">
        <v>46</v>
      </c>
      <c r="AD72" t="s">
        <v>46</v>
      </c>
      <c r="AE72" t="s">
        <v>46</v>
      </c>
      <c r="AF72" t="s">
        <v>64</v>
      </c>
      <c r="AG72" t="s">
        <v>99</v>
      </c>
      <c r="AH72" s="2" t="s">
        <v>43</v>
      </c>
    </row>
    <row r="73" spans="1:34" ht="60">
      <c r="A73" s="6" t="s">
        <v>185</v>
      </c>
      <c r="B73" s="7">
        <v>46097</v>
      </c>
      <c r="C73" s="9" t="str">
        <f>HYPERLINK("https://eping.wto.org/en/Search?viewData= G/TBT/N/CHN/2209"," G/TBT/N/CHN/2209")</f>
        <v xml:space="preserve"> G/TBT/N/CHN/2209</v>
      </c>
      <c r="D73" s="8" t="s">
        <v>497</v>
      </c>
      <c r="E73" s="8" t="s">
        <v>498</v>
      </c>
      <c r="F73" s="8" t="s">
        <v>499</v>
      </c>
      <c r="G73" s="8" t="s">
        <v>500</v>
      </c>
      <c r="H73" s="8" t="s">
        <v>501</v>
      </c>
      <c r="I73" s="8" t="s">
        <v>143</v>
      </c>
      <c r="J73" s="8" t="s">
        <v>43</v>
      </c>
      <c r="K73" s="8" t="s">
        <v>43</v>
      </c>
      <c r="L73" s="6"/>
      <c r="M73" s="7">
        <v>46157</v>
      </c>
      <c r="N73" s="7" t="s">
        <v>79</v>
      </c>
      <c r="O73" s="7" t="s">
        <v>192</v>
      </c>
      <c r="P73" s="6" t="s">
        <v>62</v>
      </c>
      <c r="Q73" s="8" t="s">
        <v>502</v>
      </c>
      <c r="R73" t="str">
        <f>HYPERLINK("https://docs.wto.org/imrd/directdoc.asp?DDFDocuments/t/G/TBTN26/CHN2209.docx", "https://docs.wto.org/imrd/directdoc.asp?DDFDocuments/t/G/TBTN26/CHN2209.docx")</f>
        <v>https://docs.wto.org/imrd/directdoc.asp?DDFDocuments/t/G/TBTN26/CHN2209.docx</v>
      </c>
      <c r="S73" t="str">
        <f>HYPERLINK("https://docs.wto.org/imrd/directdoc.asp?DDFDocuments/u/G/TBTN26/CHN2209.docx", "https://docs.wto.org/imrd/directdoc.asp?DDFDocuments/u/G/TBTN26/CHN2209.docx")</f>
        <v>https://docs.wto.org/imrd/directdoc.asp?DDFDocuments/u/G/TBTN26/CHN2209.docx</v>
      </c>
      <c r="T73" t="str">
        <f>HYPERLINK("https://docs.wto.org/imrd/directdoc.asp?DDFDocuments/v/G/TBTN26/CHN2209.docx", "https://docs.wto.org/imrd/directdoc.asp?DDFDocuments/v/G/TBTN26/CHN2209.docx")</f>
        <v>https://docs.wto.org/imrd/directdoc.asp?DDFDocuments/v/G/TBTN26/CHN2209.docx</v>
      </c>
      <c r="U73" t="s">
        <v>64</v>
      </c>
      <c r="V73" t="s">
        <v>46</v>
      </c>
      <c r="W73" t="s">
        <v>46</v>
      </c>
      <c r="X73" t="s">
        <v>46</v>
      </c>
      <c r="Y73" t="s">
        <v>46</v>
      </c>
      <c r="Z73" t="s">
        <v>46</v>
      </c>
      <c r="AA73" t="s">
        <v>46</v>
      </c>
      <c r="AB73" s="2" t="s">
        <v>43</v>
      </c>
      <c r="AC73" t="s">
        <v>43</v>
      </c>
      <c r="AD73" t="s">
        <v>43</v>
      </c>
      <c r="AE73" t="s">
        <v>43</v>
      </c>
      <c r="AF73" t="s">
        <v>43</v>
      </c>
      <c r="AG73" t="s">
        <v>43</v>
      </c>
      <c r="AH73" s="2" t="s">
        <v>43</v>
      </c>
    </row>
    <row r="74" spans="1:34" ht="60">
      <c r="A74" s="6" t="s">
        <v>390</v>
      </c>
      <c r="B74" s="7">
        <v>46097</v>
      </c>
      <c r="C74" s="9" t="str">
        <f>HYPERLINK("https://eping.wto.org/en/Search?viewData= G/SPS/N/TZA/525"," G/SPS/N/TZA/525")</f>
        <v xml:space="preserve"> G/SPS/N/TZA/525</v>
      </c>
      <c r="D74" s="8" t="s">
        <v>503</v>
      </c>
      <c r="E74" s="8" t="s">
        <v>504</v>
      </c>
      <c r="F74" s="8" t="s">
        <v>505</v>
      </c>
      <c r="G74" s="8" t="s">
        <v>506</v>
      </c>
      <c r="H74" s="8" t="s">
        <v>507</v>
      </c>
      <c r="I74" s="8" t="s">
        <v>58</v>
      </c>
      <c r="J74" s="8" t="s">
        <v>43</v>
      </c>
      <c r="K74" s="8" t="s">
        <v>157</v>
      </c>
      <c r="L74" s="6" t="s">
        <v>43</v>
      </c>
      <c r="M74" s="7">
        <v>46157</v>
      </c>
      <c r="N74" s="7" t="s">
        <v>396</v>
      </c>
      <c r="O74" s="7" t="s">
        <v>304</v>
      </c>
      <c r="P74" s="6" t="s">
        <v>62</v>
      </c>
      <c r="Q74" s="8" t="s">
        <v>508</v>
      </c>
      <c r="R74" t="str">
        <f>HYPERLINK("https://docs.wto.org/imrd/directdoc.asp?DDFDocuments/t/G/SPS/NTZA525.docx", "https://docs.wto.org/imrd/directdoc.asp?DDFDocuments/t/G/SPS/NTZA525.docx")</f>
        <v>https://docs.wto.org/imrd/directdoc.asp?DDFDocuments/t/G/SPS/NTZA525.docx</v>
      </c>
      <c r="S74" t="str">
        <f>HYPERLINK("https://docs.wto.org/imrd/directdoc.asp?DDFDocuments/u/G/SPS/NTZA525.docx", "https://docs.wto.org/imrd/directdoc.asp?DDFDocuments/u/G/SPS/NTZA525.docx")</f>
        <v>https://docs.wto.org/imrd/directdoc.asp?DDFDocuments/u/G/SPS/NTZA525.docx</v>
      </c>
      <c r="T74" t="str">
        <f>HYPERLINK("https://docs.wto.org/imrd/directdoc.asp?DDFDocuments/v/G/SPS/NTZA525.docx", "https://docs.wto.org/imrd/directdoc.asp?DDFDocuments/v/G/SPS/NTZA525.docx")</f>
        <v>https://docs.wto.org/imrd/directdoc.asp?DDFDocuments/v/G/SPS/NTZA525.docx</v>
      </c>
      <c r="U74" t="s">
        <v>43</v>
      </c>
      <c r="V74" t="s">
        <v>43</v>
      </c>
      <c r="W74" t="s">
        <v>43</v>
      </c>
      <c r="X74" t="s">
        <v>43</v>
      </c>
      <c r="Y74" t="s">
        <v>43</v>
      </c>
      <c r="Z74" t="s">
        <v>43</v>
      </c>
      <c r="AA74" t="s">
        <v>43</v>
      </c>
      <c r="AB74" s="2" t="s">
        <v>43</v>
      </c>
      <c r="AC74" t="s">
        <v>46</v>
      </c>
      <c r="AD74" t="s">
        <v>46</v>
      </c>
      <c r="AE74" t="s">
        <v>46</v>
      </c>
      <c r="AF74" t="s">
        <v>64</v>
      </c>
      <c r="AG74" t="s">
        <v>99</v>
      </c>
      <c r="AH74" s="2" t="s">
        <v>43</v>
      </c>
    </row>
    <row r="75" spans="1:34" ht="60">
      <c r="A75" s="6" t="s">
        <v>509</v>
      </c>
      <c r="B75" s="7">
        <v>46097</v>
      </c>
      <c r="C75" s="9" t="str">
        <f>HYPERLINK("https://eping.wto.org/en/Search?viewData= G/SPS/N/BDI/148, G/SPS/N/KEN/356, G/SPS/N/RWA/141, G/SPS/N/TZA/524, G/SPS/N/UGA/469"," G/SPS/N/BDI/148, G/SPS/N/KEN/356, G/SPS/N/RWA/141, G/SPS/N/TZA/524, G/SPS/N/UGA/469")</f>
        <v xml:space="preserve"> G/SPS/N/BDI/148, G/SPS/N/KEN/356, G/SPS/N/RWA/141, G/SPS/N/TZA/524, G/SPS/N/UGA/469</v>
      </c>
      <c r="D75" s="8" t="s">
        <v>449</v>
      </c>
      <c r="E75" s="8" t="s">
        <v>450</v>
      </c>
      <c r="F75" s="8" t="s">
        <v>451</v>
      </c>
      <c r="G75" s="8" t="s">
        <v>452</v>
      </c>
      <c r="H75" s="8" t="s">
        <v>453</v>
      </c>
      <c r="I75" s="8" t="s">
        <v>58</v>
      </c>
      <c r="J75" s="8" t="s">
        <v>43</v>
      </c>
      <c r="K75" s="8" t="s">
        <v>157</v>
      </c>
      <c r="L75" s="6" t="s">
        <v>43</v>
      </c>
      <c r="M75" s="7">
        <v>46157</v>
      </c>
      <c r="N75" s="7" t="s">
        <v>396</v>
      </c>
      <c r="O75" s="7" t="s">
        <v>304</v>
      </c>
      <c r="P75" s="6" t="s">
        <v>62</v>
      </c>
      <c r="Q75" s="8" t="s">
        <v>454</v>
      </c>
      <c r="R75" t="str">
        <f>HYPERLINK("https://docs.wto.org/imrd/directdoc.asp?DDFDocuments/t/G/SPS/NBDI148.docx", "https://docs.wto.org/imrd/directdoc.asp?DDFDocuments/t/G/SPS/NBDI148.docx")</f>
        <v>https://docs.wto.org/imrd/directdoc.asp?DDFDocuments/t/G/SPS/NBDI148.docx</v>
      </c>
      <c r="S75" t="str">
        <f>HYPERLINK("https://docs.wto.org/imrd/directdoc.asp?DDFDocuments/u/G/SPS/NBDI148.docx", "https://docs.wto.org/imrd/directdoc.asp?DDFDocuments/u/G/SPS/NBDI148.docx")</f>
        <v>https://docs.wto.org/imrd/directdoc.asp?DDFDocuments/u/G/SPS/NBDI148.docx</v>
      </c>
      <c r="T75" t="str">
        <f>HYPERLINK("https://docs.wto.org/imrd/directdoc.asp?DDFDocuments/v/G/SPS/NBDI148.docx", "https://docs.wto.org/imrd/directdoc.asp?DDFDocuments/v/G/SPS/NBDI148.docx")</f>
        <v>https://docs.wto.org/imrd/directdoc.asp?DDFDocuments/v/G/SPS/NBDI148.docx</v>
      </c>
      <c r="U75" t="s">
        <v>43</v>
      </c>
      <c r="V75" t="s">
        <v>43</v>
      </c>
      <c r="W75" t="s">
        <v>43</v>
      </c>
      <c r="X75" t="s">
        <v>43</v>
      </c>
      <c r="Y75" t="s">
        <v>43</v>
      </c>
      <c r="Z75" t="s">
        <v>43</v>
      </c>
      <c r="AA75" t="s">
        <v>43</v>
      </c>
      <c r="AB75" s="2" t="s">
        <v>43</v>
      </c>
      <c r="AC75" t="s">
        <v>46</v>
      </c>
      <c r="AD75" t="s">
        <v>46</v>
      </c>
      <c r="AE75" t="s">
        <v>46</v>
      </c>
      <c r="AF75" t="s">
        <v>64</v>
      </c>
      <c r="AG75" t="s">
        <v>99</v>
      </c>
      <c r="AH75" s="2" t="s">
        <v>43</v>
      </c>
    </row>
    <row r="76" spans="1:34" ht="75">
      <c r="A76" s="6" t="s">
        <v>356</v>
      </c>
      <c r="B76" s="7">
        <v>46097</v>
      </c>
      <c r="C76" s="9" t="str">
        <f>HYPERLINK("https://eping.wto.org/en/Search?viewData= G/SPS/N/EU/932"," G/SPS/N/EU/932")</f>
        <v xml:space="preserve"> G/SPS/N/EU/932</v>
      </c>
      <c r="D76" s="8" t="s">
        <v>510</v>
      </c>
      <c r="E76" s="8" t="s">
        <v>511</v>
      </c>
      <c r="F76" s="8" t="s">
        <v>483</v>
      </c>
      <c r="G76" s="8" t="s">
        <v>484</v>
      </c>
      <c r="H76" s="8" t="s">
        <v>43</v>
      </c>
      <c r="I76" s="8" t="s">
        <v>254</v>
      </c>
      <c r="J76" s="8" t="s">
        <v>43</v>
      </c>
      <c r="K76" s="8" t="s">
        <v>512</v>
      </c>
      <c r="L76" s="6"/>
      <c r="M76" s="7">
        <v>46157</v>
      </c>
      <c r="N76" s="7" t="s">
        <v>485</v>
      </c>
      <c r="O76" s="7" t="s">
        <v>486</v>
      </c>
      <c r="P76" s="6" t="s">
        <v>62</v>
      </c>
      <c r="Q76" s="8" t="s">
        <v>513</v>
      </c>
      <c r="R76" t="str">
        <f>HYPERLINK("https://docs.wto.org/imrd/directdoc.asp?DDFDocuments/t/G/SPS/NEU932.docx", "https://docs.wto.org/imrd/directdoc.asp?DDFDocuments/t/G/SPS/NEU932.docx")</f>
        <v>https://docs.wto.org/imrd/directdoc.asp?DDFDocuments/t/G/SPS/NEU932.docx</v>
      </c>
      <c r="S76" t="str">
        <f>HYPERLINK("https://docs.wto.org/imrd/directdoc.asp?DDFDocuments/u/G/SPS/NEU932.docx", "https://docs.wto.org/imrd/directdoc.asp?DDFDocuments/u/G/SPS/NEU932.docx")</f>
        <v>https://docs.wto.org/imrd/directdoc.asp?DDFDocuments/u/G/SPS/NEU932.docx</v>
      </c>
      <c r="T76" t="str">
        <f>HYPERLINK("https://docs.wto.org/imrd/directdoc.asp?DDFDocuments/v/G/SPS/NEU932.docx", "https://docs.wto.org/imrd/directdoc.asp?DDFDocuments/v/G/SPS/NEU932.docx")</f>
        <v>https://docs.wto.org/imrd/directdoc.asp?DDFDocuments/v/G/SPS/NEU932.docx</v>
      </c>
      <c r="U76" t="s">
        <v>43</v>
      </c>
      <c r="V76" t="s">
        <v>43</v>
      </c>
      <c r="W76" t="s">
        <v>43</v>
      </c>
      <c r="X76" t="s">
        <v>43</v>
      </c>
      <c r="Y76" t="s">
        <v>43</v>
      </c>
      <c r="Z76" t="s">
        <v>43</v>
      </c>
      <c r="AA76" t="s">
        <v>43</v>
      </c>
      <c r="AB76" s="2" t="s">
        <v>43</v>
      </c>
      <c r="AC76" t="s">
        <v>46</v>
      </c>
      <c r="AD76" t="s">
        <v>46</v>
      </c>
      <c r="AE76" t="s">
        <v>64</v>
      </c>
      <c r="AF76" t="s">
        <v>46</v>
      </c>
      <c r="AG76" t="s">
        <v>64</v>
      </c>
      <c r="AH76" s="2" t="s">
        <v>43</v>
      </c>
    </row>
    <row r="77" spans="1:34" ht="45">
      <c r="A77" s="6" t="s">
        <v>185</v>
      </c>
      <c r="B77" s="7">
        <v>46097</v>
      </c>
      <c r="C77" s="9" t="str">
        <f>HYPERLINK("https://eping.wto.org/en/Search?viewData= G/TBT/N/CHN/2213"," G/TBT/N/CHN/2213")</f>
        <v xml:space="preserve"> G/TBT/N/CHN/2213</v>
      </c>
      <c r="D77" s="8" t="s">
        <v>514</v>
      </c>
      <c r="E77" s="8" t="s">
        <v>515</v>
      </c>
      <c r="F77" s="8" t="s">
        <v>516</v>
      </c>
      <c r="G77" s="8" t="s">
        <v>517</v>
      </c>
      <c r="H77" s="8" t="s">
        <v>412</v>
      </c>
      <c r="I77" s="8" t="s">
        <v>413</v>
      </c>
      <c r="J77" s="8" t="s">
        <v>43</v>
      </c>
      <c r="K77" s="8" t="s">
        <v>43</v>
      </c>
      <c r="L77" s="6"/>
      <c r="M77" s="7">
        <v>46157</v>
      </c>
      <c r="N77" s="7" t="s">
        <v>79</v>
      </c>
      <c r="O77" s="7" t="s">
        <v>414</v>
      </c>
      <c r="P77" s="6" t="s">
        <v>62</v>
      </c>
      <c r="Q77" s="8" t="s">
        <v>518</v>
      </c>
      <c r="R77" t="str">
        <f>HYPERLINK("https://docs.wto.org/imrd/directdoc.asp?DDFDocuments/t/G/TBTN26/CHN2213.docx", "https://docs.wto.org/imrd/directdoc.asp?DDFDocuments/t/G/TBTN26/CHN2213.docx")</f>
        <v>https://docs.wto.org/imrd/directdoc.asp?DDFDocuments/t/G/TBTN26/CHN2213.docx</v>
      </c>
      <c r="S77" t="str">
        <f>HYPERLINK("https://docs.wto.org/imrd/directdoc.asp?DDFDocuments/u/G/TBTN26/CHN2213.docx", "https://docs.wto.org/imrd/directdoc.asp?DDFDocuments/u/G/TBTN26/CHN2213.docx")</f>
        <v>https://docs.wto.org/imrd/directdoc.asp?DDFDocuments/u/G/TBTN26/CHN2213.docx</v>
      </c>
      <c r="T77" t="str">
        <f>HYPERLINK("https://docs.wto.org/imrd/directdoc.asp?DDFDocuments/v/G/TBTN26/CHN2213.docx", "https://docs.wto.org/imrd/directdoc.asp?DDFDocuments/v/G/TBTN26/CHN2213.docx")</f>
        <v>https://docs.wto.org/imrd/directdoc.asp?DDFDocuments/v/G/TBTN26/CHN2213.docx</v>
      </c>
      <c r="U77" t="s">
        <v>46</v>
      </c>
      <c r="V77" t="s">
        <v>46</v>
      </c>
      <c r="W77" t="s">
        <v>64</v>
      </c>
      <c r="X77" t="s">
        <v>46</v>
      </c>
      <c r="Y77" t="s">
        <v>46</v>
      </c>
      <c r="Z77" t="s">
        <v>46</v>
      </c>
      <c r="AA77" t="s">
        <v>46</v>
      </c>
      <c r="AB77" s="2" t="s">
        <v>43</v>
      </c>
      <c r="AC77" t="s">
        <v>43</v>
      </c>
      <c r="AD77" t="s">
        <v>43</v>
      </c>
      <c r="AE77" t="s">
        <v>43</v>
      </c>
      <c r="AF77" t="s">
        <v>43</v>
      </c>
      <c r="AG77" t="s">
        <v>43</v>
      </c>
      <c r="AH77" s="2" t="s">
        <v>43</v>
      </c>
    </row>
    <row r="78" spans="1:34" ht="75">
      <c r="A78" s="6" t="s">
        <v>289</v>
      </c>
      <c r="B78" s="7">
        <v>46097</v>
      </c>
      <c r="C78" s="9" t="str">
        <f>HYPERLINK("https://eping.wto.org/en/Search?viewData= G/TBT/N/BRA/513/Add.3/Corr.2"," G/TBT/N/BRA/513/Add.3/Corr.2")</f>
        <v xml:space="preserve"> G/TBT/N/BRA/513/Add.3/Corr.2</v>
      </c>
      <c r="D78" s="8" t="s">
        <v>519</v>
      </c>
      <c r="E78" s="8" t="s">
        <v>520</v>
      </c>
      <c r="F78" s="8" t="s">
        <v>521</v>
      </c>
      <c r="G78" s="8" t="s">
        <v>522</v>
      </c>
      <c r="H78" s="8" t="s">
        <v>523</v>
      </c>
      <c r="I78" s="8" t="s">
        <v>524</v>
      </c>
      <c r="J78" s="8" t="s">
        <v>525</v>
      </c>
      <c r="K78" s="8" t="s">
        <v>43</v>
      </c>
      <c r="L78" s="6"/>
      <c r="M78" s="7" t="s">
        <v>43</v>
      </c>
      <c r="N78" s="7"/>
      <c r="O78" s="7"/>
      <c r="P78" s="6" t="s">
        <v>296</v>
      </c>
      <c r="Q78" s="6"/>
      <c r="R78" t="str">
        <f>HYPERLINK("https://docs.wto.org/imrd/directdoc.asp?DDFDocuments/t/G/TBTN12/BRA513A3C2.docx", "https://docs.wto.org/imrd/directdoc.asp?DDFDocuments/t/G/TBTN12/BRA513A3C2.docx")</f>
        <v>https://docs.wto.org/imrd/directdoc.asp?DDFDocuments/t/G/TBTN12/BRA513A3C2.docx</v>
      </c>
      <c r="S78" t="str">
        <f>HYPERLINK("https://docs.wto.org/imrd/directdoc.asp?DDFDocuments/u/G/TBTN12/BRA513A3C2.docx", "https://docs.wto.org/imrd/directdoc.asp?DDFDocuments/u/G/TBTN12/BRA513A3C2.docx")</f>
        <v>https://docs.wto.org/imrd/directdoc.asp?DDFDocuments/u/G/TBTN12/BRA513A3C2.docx</v>
      </c>
      <c r="T78" t="str">
        <f>HYPERLINK("https://docs.wto.org/imrd/directdoc.asp?DDFDocuments/v/G/TBTN12/BRA513A3C2.docx", "https://docs.wto.org/imrd/directdoc.asp?DDFDocuments/v/G/TBTN12/BRA513A3C2.docx")</f>
        <v>https://docs.wto.org/imrd/directdoc.asp?DDFDocuments/v/G/TBTN12/BRA513A3C2.docx</v>
      </c>
      <c r="U78" t="s">
        <v>64</v>
      </c>
      <c r="V78" t="s">
        <v>46</v>
      </c>
      <c r="W78" t="s">
        <v>46</v>
      </c>
      <c r="X78" t="s">
        <v>46</v>
      </c>
      <c r="Y78" t="s">
        <v>46</v>
      </c>
      <c r="Z78" t="s">
        <v>46</v>
      </c>
      <c r="AA78" t="s">
        <v>46</v>
      </c>
      <c r="AB78" s="2" t="s">
        <v>43</v>
      </c>
      <c r="AC78" t="s">
        <v>43</v>
      </c>
      <c r="AD78" t="s">
        <v>43</v>
      </c>
      <c r="AE78" t="s">
        <v>43</v>
      </c>
      <c r="AF78" t="s">
        <v>43</v>
      </c>
      <c r="AG78" t="s">
        <v>43</v>
      </c>
      <c r="AH78" s="2" t="s">
        <v>43</v>
      </c>
    </row>
    <row r="79" spans="1:34" ht="240">
      <c r="A79" s="6" t="s">
        <v>215</v>
      </c>
      <c r="B79" s="7">
        <v>46097</v>
      </c>
      <c r="C79" s="9" t="str">
        <f>HYPERLINK("https://eping.wto.org/en/Search?viewData= G/SPS/N/MYS/26/Rev.2"," G/SPS/N/MYS/26/Rev.2")</f>
        <v xml:space="preserve"> G/SPS/N/MYS/26/Rev.2</v>
      </c>
      <c r="D79" s="8" t="s">
        <v>526</v>
      </c>
      <c r="E79" s="8" t="s">
        <v>527</v>
      </c>
      <c r="F79" s="8" t="s">
        <v>528</v>
      </c>
      <c r="G79" s="8" t="s">
        <v>43</v>
      </c>
      <c r="H79" s="8" t="s">
        <v>43</v>
      </c>
      <c r="I79" s="8" t="s">
        <v>529</v>
      </c>
      <c r="J79" s="8" t="s">
        <v>43</v>
      </c>
      <c r="K79" s="8" t="s">
        <v>530</v>
      </c>
      <c r="L79" s="6" t="s">
        <v>43</v>
      </c>
      <c r="M79" s="7">
        <v>46157</v>
      </c>
      <c r="N79" s="7">
        <v>46143</v>
      </c>
      <c r="O79" s="7">
        <v>46174</v>
      </c>
      <c r="P79" s="6" t="s">
        <v>138</v>
      </c>
      <c r="Q79" s="8" t="s">
        <v>531</v>
      </c>
      <c r="R79" t="str">
        <f>HYPERLINK("https://docs.wto.org/imrd/directdoc.asp?DDFDocuments/t/G/SPS/NMYS26R2.docx", "https://docs.wto.org/imrd/directdoc.asp?DDFDocuments/t/G/SPS/NMYS26R2.docx")</f>
        <v>https://docs.wto.org/imrd/directdoc.asp?DDFDocuments/t/G/SPS/NMYS26R2.docx</v>
      </c>
      <c r="S79" t="str">
        <f>HYPERLINK("https://docs.wto.org/imrd/directdoc.asp?DDFDocuments/u/G/SPS/NMYS26R2.docx", "https://docs.wto.org/imrd/directdoc.asp?DDFDocuments/u/G/SPS/NMYS26R2.docx")</f>
        <v>https://docs.wto.org/imrd/directdoc.asp?DDFDocuments/u/G/SPS/NMYS26R2.docx</v>
      </c>
      <c r="T79" t="str">
        <f>HYPERLINK("https://docs.wto.org/imrd/directdoc.asp?DDFDocuments/v/G/SPS/NMYS26R2.docx", "https://docs.wto.org/imrd/directdoc.asp?DDFDocuments/v/G/SPS/NMYS26R2.docx")</f>
        <v>https://docs.wto.org/imrd/directdoc.asp?DDFDocuments/v/G/SPS/NMYS26R2.docx</v>
      </c>
      <c r="U79" t="s">
        <v>43</v>
      </c>
      <c r="V79" t="s">
        <v>43</v>
      </c>
      <c r="W79" t="s">
        <v>43</v>
      </c>
      <c r="X79" t="s">
        <v>43</v>
      </c>
      <c r="Y79" t="s">
        <v>43</v>
      </c>
      <c r="Z79" t="s">
        <v>43</v>
      </c>
      <c r="AA79" t="s">
        <v>43</v>
      </c>
      <c r="AB79" s="2" t="s">
        <v>43</v>
      </c>
      <c r="AC79" t="s">
        <v>46</v>
      </c>
      <c r="AD79" t="s">
        <v>64</v>
      </c>
      <c r="AE79" t="s">
        <v>46</v>
      </c>
      <c r="AF79" t="s">
        <v>46</v>
      </c>
      <c r="AG79" t="s">
        <v>64</v>
      </c>
      <c r="AH79" s="2" t="s">
        <v>43</v>
      </c>
    </row>
    <row r="80" spans="1:34" ht="45">
      <c r="A80" s="6" t="s">
        <v>390</v>
      </c>
      <c r="B80" s="7">
        <v>46097</v>
      </c>
      <c r="C80" s="9" t="str">
        <f>HYPERLINK("https://eping.wto.org/en/Search?viewData= G/SPS/N/TZA/519"," G/SPS/N/TZA/519")</f>
        <v xml:space="preserve"> G/SPS/N/TZA/519</v>
      </c>
      <c r="D80" s="8" t="s">
        <v>532</v>
      </c>
      <c r="E80" s="8" t="s">
        <v>533</v>
      </c>
      <c r="F80" s="8" t="s">
        <v>457</v>
      </c>
      <c r="G80" s="8" t="s">
        <v>458</v>
      </c>
      <c r="H80" s="8" t="s">
        <v>459</v>
      </c>
      <c r="I80" s="8" t="s">
        <v>58</v>
      </c>
      <c r="J80" s="8" t="s">
        <v>43</v>
      </c>
      <c r="K80" s="8" t="s">
        <v>157</v>
      </c>
      <c r="L80" s="6" t="s">
        <v>43</v>
      </c>
      <c r="M80" s="7">
        <v>46157</v>
      </c>
      <c r="N80" s="7" t="s">
        <v>396</v>
      </c>
      <c r="O80" s="7" t="s">
        <v>304</v>
      </c>
      <c r="P80" s="6" t="s">
        <v>62</v>
      </c>
      <c r="Q80" s="8" t="s">
        <v>534</v>
      </c>
      <c r="R80" t="str">
        <f>HYPERLINK("https://docs.wto.org/imrd/directdoc.asp?DDFDocuments/t/G/SPS/NTZA519.docx", "https://docs.wto.org/imrd/directdoc.asp?DDFDocuments/t/G/SPS/NTZA519.docx")</f>
        <v>https://docs.wto.org/imrd/directdoc.asp?DDFDocuments/t/G/SPS/NTZA519.docx</v>
      </c>
      <c r="S80" t="str">
        <f>HYPERLINK("https://docs.wto.org/imrd/directdoc.asp?DDFDocuments/u/G/SPS/NTZA519.docx", "https://docs.wto.org/imrd/directdoc.asp?DDFDocuments/u/G/SPS/NTZA519.docx")</f>
        <v>https://docs.wto.org/imrd/directdoc.asp?DDFDocuments/u/G/SPS/NTZA519.docx</v>
      </c>
      <c r="T80" t="str">
        <f>HYPERLINK("https://docs.wto.org/imrd/directdoc.asp?DDFDocuments/v/G/SPS/NTZA519.docx", "https://docs.wto.org/imrd/directdoc.asp?DDFDocuments/v/G/SPS/NTZA519.docx")</f>
        <v>https://docs.wto.org/imrd/directdoc.asp?DDFDocuments/v/G/SPS/NTZA519.docx</v>
      </c>
      <c r="U80" t="s">
        <v>43</v>
      </c>
      <c r="V80" t="s">
        <v>43</v>
      </c>
      <c r="W80" t="s">
        <v>43</v>
      </c>
      <c r="X80" t="s">
        <v>43</v>
      </c>
      <c r="Y80" t="s">
        <v>43</v>
      </c>
      <c r="Z80" t="s">
        <v>43</v>
      </c>
      <c r="AA80" t="s">
        <v>43</v>
      </c>
      <c r="AB80" s="2" t="s">
        <v>43</v>
      </c>
      <c r="AC80" t="s">
        <v>46</v>
      </c>
      <c r="AD80" t="s">
        <v>46</v>
      </c>
      <c r="AE80" t="s">
        <v>46</v>
      </c>
      <c r="AF80" t="s">
        <v>64</v>
      </c>
      <c r="AG80" t="s">
        <v>99</v>
      </c>
      <c r="AH80" s="2" t="s">
        <v>43</v>
      </c>
    </row>
    <row r="81" spans="1:34" ht="60">
      <c r="A81" s="6" t="s">
        <v>185</v>
      </c>
      <c r="B81" s="7">
        <v>46097</v>
      </c>
      <c r="C81" s="9" t="str">
        <f>HYPERLINK("https://eping.wto.org/en/Search?viewData= G/TBT/N/CHN/2217"," G/TBT/N/CHN/2217")</f>
        <v xml:space="preserve"> G/TBT/N/CHN/2217</v>
      </c>
      <c r="D81" s="8" t="s">
        <v>535</v>
      </c>
      <c r="E81" s="8" t="s">
        <v>536</v>
      </c>
      <c r="F81" s="8" t="s">
        <v>537</v>
      </c>
      <c r="G81" s="8" t="s">
        <v>538</v>
      </c>
      <c r="H81" s="8" t="s">
        <v>412</v>
      </c>
      <c r="I81" s="8" t="s">
        <v>413</v>
      </c>
      <c r="J81" s="8" t="s">
        <v>43</v>
      </c>
      <c r="K81" s="8" t="s">
        <v>43</v>
      </c>
      <c r="L81" s="6"/>
      <c r="M81" s="7">
        <v>46157</v>
      </c>
      <c r="N81" s="7" t="s">
        <v>79</v>
      </c>
      <c r="O81" s="7" t="s">
        <v>414</v>
      </c>
      <c r="P81" s="6" t="s">
        <v>62</v>
      </c>
      <c r="Q81" s="8" t="s">
        <v>539</v>
      </c>
      <c r="R81" t="str">
        <f>HYPERLINK("https://docs.wto.org/imrd/directdoc.asp?DDFDocuments/t/G/TBTN26/CHN2217.docx", "https://docs.wto.org/imrd/directdoc.asp?DDFDocuments/t/G/TBTN26/CHN2217.docx")</f>
        <v>https://docs.wto.org/imrd/directdoc.asp?DDFDocuments/t/G/TBTN26/CHN2217.docx</v>
      </c>
      <c r="S81" t="str">
        <f>HYPERLINK("https://docs.wto.org/imrd/directdoc.asp?DDFDocuments/u/G/TBTN26/CHN2217.docx", "https://docs.wto.org/imrd/directdoc.asp?DDFDocuments/u/G/TBTN26/CHN2217.docx")</f>
        <v>https://docs.wto.org/imrd/directdoc.asp?DDFDocuments/u/G/TBTN26/CHN2217.docx</v>
      </c>
      <c r="T81" t="str">
        <f>HYPERLINK("https://docs.wto.org/imrd/directdoc.asp?DDFDocuments/v/G/TBTN26/CHN2217.docx", "https://docs.wto.org/imrd/directdoc.asp?DDFDocuments/v/G/TBTN26/CHN2217.docx")</f>
        <v>https://docs.wto.org/imrd/directdoc.asp?DDFDocuments/v/G/TBTN26/CHN2217.docx</v>
      </c>
      <c r="U81" t="s">
        <v>46</v>
      </c>
      <c r="V81" t="s">
        <v>46</v>
      </c>
      <c r="W81" t="s">
        <v>64</v>
      </c>
      <c r="X81" t="s">
        <v>46</v>
      </c>
      <c r="Y81" t="s">
        <v>46</v>
      </c>
      <c r="Z81" t="s">
        <v>46</v>
      </c>
      <c r="AA81" t="s">
        <v>46</v>
      </c>
      <c r="AB81" s="2" t="s">
        <v>43</v>
      </c>
      <c r="AC81" t="s">
        <v>43</v>
      </c>
      <c r="AD81" t="s">
        <v>43</v>
      </c>
      <c r="AE81" t="s">
        <v>43</v>
      </c>
      <c r="AF81" t="s">
        <v>43</v>
      </c>
      <c r="AG81" t="s">
        <v>43</v>
      </c>
      <c r="AH81" s="2" t="s">
        <v>43</v>
      </c>
    </row>
    <row r="82" spans="1:34" ht="60">
      <c r="A82" s="6" t="s">
        <v>185</v>
      </c>
      <c r="B82" s="7">
        <v>46097</v>
      </c>
      <c r="C82" s="9" t="str">
        <f>HYPERLINK("https://eping.wto.org/en/Search?viewData= G/TBT/N/CHN/2225"," G/TBT/N/CHN/2225")</f>
        <v xml:space="preserve"> G/TBT/N/CHN/2225</v>
      </c>
      <c r="D82" s="8" t="s">
        <v>540</v>
      </c>
      <c r="E82" s="8" t="s">
        <v>541</v>
      </c>
      <c r="F82" s="8" t="s">
        <v>542</v>
      </c>
      <c r="G82" s="8" t="s">
        <v>543</v>
      </c>
      <c r="H82" s="8" t="s">
        <v>412</v>
      </c>
      <c r="I82" s="8" t="s">
        <v>295</v>
      </c>
      <c r="J82" s="8" t="s">
        <v>43</v>
      </c>
      <c r="K82" s="8" t="s">
        <v>43</v>
      </c>
      <c r="L82" s="6"/>
      <c r="M82" s="7">
        <v>46157</v>
      </c>
      <c r="N82" s="7" t="s">
        <v>79</v>
      </c>
      <c r="O82" s="7" t="s">
        <v>192</v>
      </c>
      <c r="P82" s="6" t="s">
        <v>62</v>
      </c>
      <c r="Q82" s="8" t="s">
        <v>544</v>
      </c>
      <c r="R82" t="str">
        <f>HYPERLINK("https://docs.wto.org/imrd/directdoc.asp?DDFDocuments/t/G/TBTN26/CHN2225.docx", "https://docs.wto.org/imrd/directdoc.asp?DDFDocuments/t/G/TBTN26/CHN2225.docx")</f>
        <v>https://docs.wto.org/imrd/directdoc.asp?DDFDocuments/t/G/TBTN26/CHN2225.docx</v>
      </c>
      <c r="S82" t="str">
        <f>HYPERLINK("https://docs.wto.org/imrd/directdoc.asp?DDFDocuments/u/G/TBTN26/CHN2225.docx", "https://docs.wto.org/imrd/directdoc.asp?DDFDocuments/u/G/TBTN26/CHN2225.docx")</f>
        <v>https://docs.wto.org/imrd/directdoc.asp?DDFDocuments/u/G/TBTN26/CHN2225.docx</v>
      </c>
      <c r="T82" t="str">
        <f>HYPERLINK("https://docs.wto.org/imrd/directdoc.asp?DDFDocuments/v/G/TBTN26/CHN2225.docx", "https://docs.wto.org/imrd/directdoc.asp?DDFDocuments/v/G/TBTN26/CHN2225.docx")</f>
        <v>https://docs.wto.org/imrd/directdoc.asp?DDFDocuments/v/G/TBTN26/CHN2225.docx</v>
      </c>
      <c r="U82" t="s">
        <v>64</v>
      </c>
      <c r="V82" t="s">
        <v>46</v>
      </c>
      <c r="W82" t="s">
        <v>46</v>
      </c>
      <c r="X82" t="s">
        <v>46</v>
      </c>
      <c r="Y82" t="s">
        <v>46</v>
      </c>
      <c r="Z82" t="s">
        <v>46</v>
      </c>
      <c r="AA82" t="s">
        <v>46</v>
      </c>
      <c r="AB82" s="2" t="s">
        <v>43</v>
      </c>
      <c r="AC82" t="s">
        <v>43</v>
      </c>
      <c r="AD82" t="s">
        <v>43</v>
      </c>
      <c r="AE82" t="s">
        <v>43</v>
      </c>
      <c r="AF82" t="s">
        <v>43</v>
      </c>
      <c r="AG82" t="s">
        <v>43</v>
      </c>
      <c r="AH82" s="2" t="s">
        <v>43</v>
      </c>
    </row>
    <row r="83" spans="1:34" ht="75">
      <c r="A83" s="6" t="s">
        <v>185</v>
      </c>
      <c r="B83" s="7">
        <v>46097</v>
      </c>
      <c r="C83" s="9" t="str">
        <f>HYPERLINK("https://eping.wto.org/en/Search?viewData= G/TBT/N/CHN/2207"," G/TBT/N/CHN/2207")</f>
        <v xml:space="preserve"> G/TBT/N/CHN/2207</v>
      </c>
      <c r="D83" s="8" t="s">
        <v>545</v>
      </c>
      <c r="E83" s="8" t="s">
        <v>546</v>
      </c>
      <c r="F83" s="8" t="s">
        <v>547</v>
      </c>
      <c r="G83" s="8" t="s">
        <v>548</v>
      </c>
      <c r="H83" s="8" t="s">
        <v>465</v>
      </c>
      <c r="I83" s="8" t="s">
        <v>413</v>
      </c>
      <c r="J83" s="8" t="s">
        <v>43</v>
      </c>
      <c r="K83" s="8" t="s">
        <v>43</v>
      </c>
      <c r="L83" s="6"/>
      <c r="M83" s="7">
        <v>46157</v>
      </c>
      <c r="N83" s="7" t="s">
        <v>79</v>
      </c>
      <c r="O83" s="7" t="s">
        <v>192</v>
      </c>
      <c r="P83" s="6" t="s">
        <v>62</v>
      </c>
      <c r="Q83" s="8" t="s">
        <v>549</v>
      </c>
      <c r="R83" t="str">
        <f>HYPERLINK("https://docs.wto.org/imrd/directdoc.asp?DDFDocuments/t/G/TBTN26/CHN2207.docx", "https://docs.wto.org/imrd/directdoc.asp?DDFDocuments/t/G/TBTN26/CHN2207.docx")</f>
        <v>https://docs.wto.org/imrd/directdoc.asp?DDFDocuments/t/G/TBTN26/CHN2207.docx</v>
      </c>
      <c r="S83" t="str">
        <f>HYPERLINK("https://docs.wto.org/imrd/directdoc.asp?DDFDocuments/u/G/TBTN26/CHN2207.docx", "https://docs.wto.org/imrd/directdoc.asp?DDFDocuments/u/G/TBTN26/CHN2207.docx")</f>
        <v>https://docs.wto.org/imrd/directdoc.asp?DDFDocuments/u/G/TBTN26/CHN2207.docx</v>
      </c>
      <c r="T83" t="str">
        <f>HYPERLINK("https://docs.wto.org/imrd/directdoc.asp?DDFDocuments/v/G/TBTN26/CHN2207.docx", "https://docs.wto.org/imrd/directdoc.asp?DDFDocuments/v/G/TBTN26/CHN2207.docx")</f>
        <v>https://docs.wto.org/imrd/directdoc.asp?DDFDocuments/v/G/TBTN26/CHN2207.docx</v>
      </c>
      <c r="U83" t="s">
        <v>64</v>
      </c>
      <c r="V83" t="s">
        <v>46</v>
      </c>
      <c r="W83" t="s">
        <v>46</v>
      </c>
      <c r="X83" t="s">
        <v>46</v>
      </c>
      <c r="Y83" t="s">
        <v>46</v>
      </c>
      <c r="Z83" t="s">
        <v>46</v>
      </c>
      <c r="AA83" t="s">
        <v>46</v>
      </c>
      <c r="AB83" s="2" t="s">
        <v>43</v>
      </c>
      <c r="AC83" t="s">
        <v>43</v>
      </c>
      <c r="AD83" t="s">
        <v>43</v>
      </c>
      <c r="AE83" t="s">
        <v>43</v>
      </c>
      <c r="AF83" t="s">
        <v>43</v>
      </c>
      <c r="AG83" t="s">
        <v>43</v>
      </c>
      <c r="AH83" s="2" t="s">
        <v>43</v>
      </c>
    </row>
    <row r="84" spans="1:34" ht="60">
      <c r="A84" s="6" t="s">
        <v>185</v>
      </c>
      <c r="B84" s="7">
        <v>46097</v>
      </c>
      <c r="C84" s="9" t="str">
        <f>HYPERLINK("https://eping.wto.org/en/Search?viewData= G/TBT/N/CHN/2211"," G/TBT/N/CHN/2211")</f>
        <v xml:space="preserve"> G/TBT/N/CHN/2211</v>
      </c>
      <c r="D84" s="8" t="s">
        <v>550</v>
      </c>
      <c r="E84" s="8" t="s">
        <v>551</v>
      </c>
      <c r="F84" s="8" t="s">
        <v>552</v>
      </c>
      <c r="G84" s="8" t="s">
        <v>553</v>
      </c>
      <c r="H84" s="8" t="s">
        <v>412</v>
      </c>
      <c r="I84" s="8" t="s">
        <v>413</v>
      </c>
      <c r="J84" s="8" t="s">
        <v>43</v>
      </c>
      <c r="K84" s="8" t="s">
        <v>43</v>
      </c>
      <c r="L84" s="6"/>
      <c r="M84" s="7">
        <v>46157</v>
      </c>
      <c r="N84" s="7" t="s">
        <v>79</v>
      </c>
      <c r="O84" s="7" t="s">
        <v>414</v>
      </c>
      <c r="P84" s="6" t="s">
        <v>62</v>
      </c>
      <c r="Q84" s="8" t="s">
        <v>554</v>
      </c>
      <c r="R84" t="str">
        <f>HYPERLINK("https://docs.wto.org/imrd/directdoc.asp?DDFDocuments/t/G/TBTN26/CHN2211.docx", "https://docs.wto.org/imrd/directdoc.asp?DDFDocuments/t/G/TBTN26/CHN2211.docx")</f>
        <v>https://docs.wto.org/imrd/directdoc.asp?DDFDocuments/t/G/TBTN26/CHN2211.docx</v>
      </c>
      <c r="S84" t="str">
        <f>HYPERLINK("https://docs.wto.org/imrd/directdoc.asp?DDFDocuments/u/G/TBTN26/CHN2211.docx", "https://docs.wto.org/imrd/directdoc.asp?DDFDocuments/u/G/TBTN26/CHN2211.docx")</f>
        <v>https://docs.wto.org/imrd/directdoc.asp?DDFDocuments/u/G/TBTN26/CHN2211.docx</v>
      </c>
      <c r="T84" t="str">
        <f>HYPERLINK("https://docs.wto.org/imrd/directdoc.asp?DDFDocuments/v/G/TBTN26/CHN2211.docx", "https://docs.wto.org/imrd/directdoc.asp?DDFDocuments/v/G/TBTN26/CHN2211.docx")</f>
        <v>https://docs.wto.org/imrd/directdoc.asp?DDFDocuments/v/G/TBTN26/CHN2211.docx</v>
      </c>
      <c r="U84" t="s">
        <v>46</v>
      </c>
      <c r="V84" t="s">
        <v>46</v>
      </c>
      <c r="W84" t="s">
        <v>64</v>
      </c>
      <c r="X84" t="s">
        <v>46</v>
      </c>
      <c r="Y84" t="s">
        <v>46</v>
      </c>
      <c r="Z84" t="s">
        <v>46</v>
      </c>
      <c r="AA84" t="s">
        <v>46</v>
      </c>
      <c r="AB84" s="2" t="s">
        <v>43</v>
      </c>
      <c r="AC84" t="s">
        <v>43</v>
      </c>
      <c r="AD84" t="s">
        <v>43</v>
      </c>
      <c r="AE84" t="s">
        <v>43</v>
      </c>
      <c r="AF84" t="s">
        <v>43</v>
      </c>
      <c r="AG84" t="s">
        <v>43</v>
      </c>
      <c r="AH84" s="2" t="s">
        <v>43</v>
      </c>
    </row>
    <row r="85" spans="1:34" ht="60">
      <c r="A85" s="6" t="s">
        <v>390</v>
      </c>
      <c r="B85" s="7">
        <v>46097</v>
      </c>
      <c r="C85" s="9" t="str">
        <f>HYPERLINK("https://eping.wto.org/en/Search?viewData= G/SPS/N/BDI/148, G/SPS/N/KEN/356, G/SPS/N/RWA/141, G/SPS/N/TZA/524, G/SPS/N/UGA/469"," G/SPS/N/BDI/148, G/SPS/N/KEN/356, G/SPS/N/RWA/141, G/SPS/N/TZA/524, G/SPS/N/UGA/469")</f>
        <v xml:space="preserve"> G/SPS/N/BDI/148, G/SPS/N/KEN/356, G/SPS/N/RWA/141, G/SPS/N/TZA/524, G/SPS/N/UGA/469</v>
      </c>
      <c r="D85" s="8" t="s">
        <v>449</v>
      </c>
      <c r="E85" s="8" t="s">
        <v>450</v>
      </c>
      <c r="F85" s="8" t="s">
        <v>451</v>
      </c>
      <c r="G85" s="8" t="s">
        <v>452</v>
      </c>
      <c r="H85" s="8" t="s">
        <v>453</v>
      </c>
      <c r="I85" s="8" t="s">
        <v>58</v>
      </c>
      <c r="J85" s="8" t="s">
        <v>43</v>
      </c>
      <c r="K85" s="8" t="s">
        <v>157</v>
      </c>
      <c r="L85" s="6" t="s">
        <v>43</v>
      </c>
      <c r="M85" s="7">
        <v>46157</v>
      </c>
      <c r="N85" s="7" t="s">
        <v>396</v>
      </c>
      <c r="O85" s="7" t="s">
        <v>304</v>
      </c>
      <c r="P85" s="6" t="s">
        <v>62</v>
      </c>
      <c r="Q85" s="8" t="s">
        <v>454</v>
      </c>
      <c r="R85" t="str">
        <f>HYPERLINK("https://docs.wto.org/imrd/directdoc.asp?DDFDocuments/t/G/SPS/NBDI148.docx", "https://docs.wto.org/imrd/directdoc.asp?DDFDocuments/t/G/SPS/NBDI148.docx")</f>
        <v>https://docs.wto.org/imrd/directdoc.asp?DDFDocuments/t/G/SPS/NBDI148.docx</v>
      </c>
      <c r="S85" t="str">
        <f>HYPERLINK("https://docs.wto.org/imrd/directdoc.asp?DDFDocuments/u/G/SPS/NBDI148.docx", "https://docs.wto.org/imrd/directdoc.asp?DDFDocuments/u/G/SPS/NBDI148.docx")</f>
        <v>https://docs.wto.org/imrd/directdoc.asp?DDFDocuments/u/G/SPS/NBDI148.docx</v>
      </c>
      <c r="T85" t="str">
        <f>HYPERLINK("https://docs.wto.org/imrd/directdoc.asp?DDFDocuments/v/G/SPS/NBDI148.docx", "https://docs.wto.org/imrd/directdoc.asp?DDFDocuments/v/G/SPS/NBDI148.docx")</f>
        <v>https://docs.wto.org/imrd/directdoc.asp?DDFDocuments/v/G/SPS/NBDI148.docx</v>
      </c>
      <c r="U85" t="s">
        <v>43</v>
      </c>
      <c r="V85" t="s">
        <v>43</v>
      </c>
      <c r="W85" t="s">
        <v>43</v>
      </c>
      <c r="X85" t="s">
        <v>43</v>
      </c>
      <c r="Y85" t="s">
        <v>43</v>
      </c>
      <c r="Z85" t="s">
        <v>43</v>
      </c>
      <c r="AA85" t="s">
        <v>43</v>
      </c>
      <c r="AB85" s="2" t="s">
        <v>43</v>
      </c>
      <c r="AC85" t="s">
        <v>46</v>
      </c>
      <c r="AD85" t="s">
        <v>46</v>
      </c>
      <c r="AE85" t="s">
        <v>46</v>
      </c>
      <c r="AF85" t="s">
        <v>64</v>
      </c>
      <c r="AG85" t="s">
        <v>99</v>
      </c>
      <c r="AH85" s="2" t="s">
        <v>43</v>
      </c>
    </row>
    <row r="86" spans="1:34" ht="60">
      <c r="A86" s="6" t="s">
        <v>289</v>
      </c>
      <c r="B86" s="7">
        <v>46097</v>
      </c>
      <c r="C86" s="9" t="str">
        <f>HYPERLINK("https://eping.wto.org/en/Search?viewData= G/TBT/N/BRA/1625"," G/TBT/N/BRA/1625")</f>
        <v xml:space="preserve"> G/TBT/N/BRA/1625</v>
      </c>
      <c r="D86" s="8" t="s">
        <v>290</v>
      </c>
      <c r="E86" s="8" t="s">
        <v>555</v>
      </c>
      <c r="F86" s="8" t="s">
        <v>292</v>
      </c>
      <c r="G86" s="8" t="s">
        <v>556</v>
      </c>
      <c r="H86" s="8" t="s">
        <v>557</v>
      </c>
      <c r="I86" s="8" t="s">
        <v>295</v>
      </c>
      <c r="J86" s="8" t="s">
        <v>43</v>
      </c>
      <c r="K86" s="8" t="s">
        <v>43</v>
      </c>
      <c r="L86" s="6"/>
      <c r="M86" s="7" t="s">
        <v>43</v>
      </c>
      <c r="N86" s="7" t="s">
        <v>99</v>
      </c>
      <c r="O86" s="7" t="s">
        <v>99</v>
      </c>
      <c r="P86" s="6" t="s">
        <v>62</v>
      </c>
      <c r="Q86" s="6"/>
      <c r="R86" t="str">
        <f>HYPERLINK("https://docs.wto.org/imrd/directdoc.asp?DDFDocuments/t/G/TBTN26/BRA1625.docx", "https://docs.wto.org/imrd/directdoc.asp?DDFDocuments/t/G/TBTN26/BRA1625.docx")</f>
        <v>https://docs.wto.org/imrd/directdoc.asp?DDFDocuments/t/G/TBTN26/BRA1625.docx</v>
      </c>
      <c r="S86" t="str">
        <f>HYPERLINK("https://docs.wto.org/imrd/directdoc.asp?DDFDocuments/u/G/TBTN26/BRA1625.docx", "https://docs.wto.org/imrd/directdoc.asp?DDFDocuments/u/G/TBTN26/BRA1625.docx")</f>
        <v>https://docs.wto.org/imrd/directdoc.asp?DDFDocuments/u/G/TBTN26/BRA1625.docx</v>
      </c>
      <c r="T86" t="str">
        <f>HYPERLINK("https://docs.wto.org/imrd/directdoc.asp?DDFDocuments/v/G/TBTN26/BRA1625.docx", "https://docs.wto.org/imrd/directdoc.asp?DDFDocuments/v/G/TBTN26/BRA1625.docx")</f>
        <v>https://docs.wto.org/imrd/directdoc.asp?DDFDocuments/v/G/TBTN26/BRA1625.docx</v>
      </c>
      <c r="U86" t="s">
        <v>64</v>
      </c>
      <c r="V86" t="s">
        <v>46</v>
      </c>
      <c r="W86" t="s">
        <v>46</v>
      </c>
      <c r="X86" t="s">
        <v>46</v>
      </c>
      <c r="Y86" t="s">
        <v>46</v>
      </c>
      <c r="Z86" t="s">
        <v>46</v>
      </c>
      <c r="AA86" t="s">
        <v>46</v>
      </c>
      <c r="AB86" s="2" t="s">
        <v>43</v>
      </c>
      <c r="AC86" t="s">
        <v>43</v>
      </c>
      <c r="AD86" t="s">
        <v>43</v>
      </c>
      <c r="AE86" t="s">
        <v>43</v>
      </c>
      <c r="AF86" t="s">
        <v>43</v>
      </c>
      <c r="AG86" t="s">
        <v>43</v>
      </c>
      <c r="AH86" s="2" t="s">
        <v>43</v>
      </c>
    </row>
    <row r="87" spans="1:34" ht="75">
      <c r="A87" s="6" t="s">
        <v>185</v>
      </c>
      <c r="B87" s="7">
        <v>46097</v>
      </c>
      <c r="C87" s="9" t="str">
        <f>HYPERLINK("https://eping.wto.org/en/Search?viewData= G/TBT/N/CHN/2231"," G/TBT/N/CHN/2231")</f>
        <v xml:space="preserve"> G/TBT/N/CHN/2231</v>
      </c>
      <c r="D87" s="8" t="s">
        <v>558</v>
      </c>
      <c r="E87" s="8" t="s">
        <v>559</v>
      </c>
      <c r="F87" s="8" t="s">
        <v>560</v>
      </c>
      <c r="G87" s="8" t="s">
        <v>561</v>
      </c>
      <c r="H87" s="8" t="s">
        <v>562</v>
      </c>
      <c r="I87" s="8" t="s">
        <v>413</v>
      </c>
      <c r="J87" s="8" t="s">
        <v>43</v>
      </c>
      <c r="K87" s="8" t="s">
        <v>43</v>
      </c>
      <c r="L87" s="6"/>
      <c r="M87" s="7">
        <v>46157</v>
      </c>
      <c r="N87" s="7" t="s">
        <v>79</v>
      </c>
      <c r="O87" s="7">
        <v>46569</v>
      </c>
      <c r="P87" s="6" t="s">
        <v>62</v>
      </c>
      <c r="Q87" s="8" t="s">
        <v>563</v>
      </c>
      <c r="R87" t="str">
        <f>HYPERLINK("https://docs.wto.org/imrd/directdoc.asp?DDFDocuments/t/G/TBTN26/CHN2231.docx", "https://docs.wto.org/imrd/directdoc.asp?DDFDocuments/t/G/TBTN26/CHN2231.docx")</f>
        <v>https://docs.wto.org/imrd/directdoc.asp?DDFDocuments/t/G/TBTN26/CHN2231.docx</v>
      </c>
      <c r="S87" t="str">
        <f>HYPERLINK("https://docs.wto.org/imrd/directdoc.asp?DDFDocuments/u/G/TBTN26/CHN2231.docx", "https://docs.wto.org/imrd/directdoc.asp?DDFDocuments/u/G/TBTN26/CHN2231.docx")</f>
        <v>https://docs.wto.org/imrd/directdoc.asp?DDFDocuments/u/G/TBTN26/CHN2231.docx</v>
      </c>
      <c r="T87" t="str">
        <f>HYPERLINK("https://docs.wto.org/imrd/directdoc.asp?DDFDocuments/v/G/TBTN26/CHN2231.docx", "https://docs.wto.org/imrd/directdoc.asp?DDFDocuments/v/G/TBTN26/CHN2231.docx")</f>
        <v>https://docs.wto.org/imrd/directdoc.asp?DDFDocuments/v/G/TBTN26/CHN2231.docx</v>
      </c>
      <c r="U87" t="s">
        <v>64</v>
      </c>
      <c r="V87" t="s">
        <v>46</v>
      </c>
      <c r="W87" t="s">
        <v>46</v>
      </c>
      <c r="X87" t="s">
        <v>46</v>
      </c>
      <c r="Y87" t="s">
        <v>46</v>
      </c>
      <c r="Z87" t="s">
        <v>46</v>
      </c>
      <c r="AA87" t="s">
        <v>46</v>
      </c>
      <c r="AB87" s="2" t="s">
        <v>43</v>
      </c>
      <c r="AC87" t="s">
        <v>43</v>
      </c>
      <c r="AD87" t="s">
        <v>43</v>
      </c>
      <c r="AE87" t="s">
        <v>43</v>
      </c>
      <c r="AF87" t="s">
        <v>43</v>
      </c>
      <c r="AG87" t="s">
        <v>43</v>
      </c>
      <c r="AH87" s="2" t="s">
        <v>43</v>
      </c>
    </row>
    <row r="88" spans="1:34" ht="90">
      <c r="A88" s="6" t="s">
        <v>185</v>
      </c>
      <c r="B88" s="7">
        <v>46097</v>
      </c>
      <c r="C88" s="9" t="str">
        <f>HYPERLINK("https://eping.wto.org/en/Search?viewData= G/TBT/N/CHN/2216"," G/TBT/N/CHN/2216")</f>
        <v xml:space="preserve"> G/TBT/N/CHN/2216</v>
      </c>
      <c r="D88" s="8" t="s">
        <v>564</v>
      </c>
      <c r="E88" s="8" t="s">
        <v>565</v>
      </c>
      <c r="F88" s="8" t="s">
        <v>566</v>
      </c>
      <c r="G88" s="8" t="s">
        <v>567</v>
      </c>
      <c r="H88" s="8" t="s">
        <v>412</v>
      </c>
      <c r="I88" s="8" t="s">
        <v>413</v>
      </c>
      <c r="J88" s="8" t="s">
        <v>43</v>
      </c>
      <c r="K88" s="8" t="s">
        <v>43</v>
      </c>
      <c r="L88" s="6"/>
      <c r="M88" s="7">
        <v>46157</v>
      </c>
      <c r="N88" s="7" t="s">
        <v>79</v>
      </c>
      <c r="O88" s="7" t="s">
        <v>414</v>
      </c>
      <c r="P88" s="6" t="s">
        <v>62</v>
      </c>
      <c r="Q88" s="8" t="s">
        <v>568</v>
      </c>
      <c r="R88" t="str">
        <f>HYPERLINK("https://docs.wto.org/imrd/directdoc.asp?DDFDocuments/t/G/TBTN26/CHN2216.docx", "https://docs.wto.org/imrd/directdoc.asp?DDFDocuments/t/G/TBTN26/CHN2216.docx")</f>
        <v>https://docs.wto.org/imrd/directdoc.asp?DDFDocuments/t/G/TBTN26/CHN2216.docx</v>
      </c>
      <c r="S88" t="str">
        <f>HYPERLINK("https://docs.wto.org/imrd/directdoc.asp?DDFDocuments/u/G/TBTN26/CHN2216.docx", "https://docs.wto.org/imrd/directdoc.asp?DDFDocuments/u/G/TBTN26/CHN2216.docx")</f>
        <v>https://docs.wto.org/imrd/directdoc.asp?DDFDocuments/u/G/TBTN26/CHN2216.docx</v>
      </c>
      <c r="T88" t="str">
        <f>HYPERLINK("https://docs.wto.org/imrd/directdoc.asp?DDFDocuments/v/G/TBTN26/CHN2216.docx", "https://docs.wto.org/imrd/directdoc.asp?DDFDocuments/v/G/TBTN26/CHN2216.docx")</f>
        <v>https://docs.wto.org/imrd/directdoc.asp?DDFDocuments/v/G/TBTN26/CHN2216.docx</v>
      </c>
      <c r="U88" t="s">
        <v>46</v>
      </c>
      <c r="V88" t="s">
        <v>46</v>
      </c>
      <c r="W88" t="s">
        <v>64</v>
      </c>
      <c r="X88" t="s">
        <v>46</v>
      </c>
      <c r="Y88" t="s">
        <v>46</v>
      </c>
      <c r="Z88" t="s">
        <v>46</v>
      </c>
      <c r="AA88" t="s">
        <v>46</v>
      </c>
      <c r="AB88" s="2" t="s">
        <v>43</v>
      </c>
      <c r="AC88" t="s">
        <v>43</v>
      </c>
      <c r="AD88" t="s">
        <v>43</v>
      </c>
      <c r="AE88" t="s">
        <v>43</v>
      </c>
      <c r="AF88" t="s">
        <v>43</v>
      </c>
      <c r="AG88" t="s">
        <v>43</v>
      </c>
      <c r="AH88" s="2" t="s">
        <v>43</v>
      </c>
    </row>
    <row r="89" spans="1:34" ht="45">
      <c r="A89" s="6" t="s">
        <v>390</v>
      </c>
      <c r="B89" s="7">
        <v>46097</v>
      </c>
      <c r="C89" s="9" t="str">
        <f>HYPERLINK("https://eping.wto.org/en/Search?viewData= G/SPS/N/TZA/526"," G/SPS/N/TZA/526")</f>
        <v xml:space="preserve"> G/SPS/N/TZA/526</v>
      </c>
      <c r="D89" s="8" t="s">
        <v>569</v>
      </c>
      <c r="E89" s="8" t="s">
        <v>570</v>
      </c>
      <c r="F89" s="8" t="s">
        <v>505</v>
      </c>
      <c r="G89" s="8" t="s">
        <v>506</v>
      </c>
      <c r="H89" s="8" t="s">
        <v>507</v>
      </c>
      <c r="I89" s="8" t="s">
        <v>58</v>
      </c>
      <c r="J89" s="8" t="s">
        <v>43</v>
      </c>
      <c r="K89" s="8" t="s">
        <v>157</v>
      </c>
      <c r="L89" s="6" t="s">
        <v>43</v>
      </c>
      <c r="M89" s="7">
        <v>46157</v>
      </c>
      <c r="N89" s="7" t="s">
        <v>396</v>
      </c>
      <c r="O89" s="7" t="s">
        <v>304</v>
      </c>
      <c r="P89" s="6" t="s">
        <v>62</v>
      </c>
      <c r="Q89" s="8" t="s">
        <v>571</v>
      </c>
      <c r="R89" t="str">
        <f>HYPERLINK("https://docs.wto.org/imrd/directdoc.asp?DDFDocuments/t/G/SPS/NTZA526.docx", "https://docs.wto.org/imrd/directdoc.asp?DDFDocuments/t/G/SPS/NTZA526.docx")</f>
        <v>https://docs.wto.org/imrd/directdoc.asp?DDFDocuments/t/G/SPS/NTZA526.docx</v>
      </c>
      <c r="S89" t="str">
        <f>HYPERLINK("https://docs.wto.org/imrd/directdoc.asp?DDFDocuments/u/G/SPS/NTZA526.docx", "https://docs.wto.org/imrd/directdoc.asp?DDFDocuments/u/G/SPS/NTZA526.docx")</f>
        <v>https://docs.wto.org/imrd/directdoc.asp?DDFDocuments/u/G/SPS/NTZA526.docx</v>
      </c>
      <c r="T89" t="str">
        <f>HYPERLINK("https://docs.wto.org/imrd/directdoc.asp?DDFDocuments/v/G/SPS/NTZA526.docx", "https://docs.wto.org/imrd/directdoc.asp?DDFDocuments/v/G/SPS/NTZA526.docx")</f>
        <v>https://docs.wto.org/imrd/directdoc.asp?DDFDocuments/v/G/SPS/NTZA526.docx</v>
      </c>
      <c r="U89" t="s">
        <v>43</v>
      </c>
      <c r="V89" t="s">
        <v>43</v>
      </c>
      <c r="W89" t="s">
        <v>43</v>
      </c>
      <c r="X89" t="s">
        <v>43</v>
      </c>
      <c r="Y89" t="s">
        <v>43</v>
      </c>
      <c r="Z89" t="s">
        <v>43</v>
      </c>
      <c r="AA89" t="s">
        <v>43</v>
      </c>
      <c r="AB89" s="2" t="s">
        <v>43</v>
      </c>
      <c r="AC89" t="s">
        <v>46</v>
      </c>
      <c r="AD89" t="s">
        <v>46</v>
      </c>
      <c r="AE89" t="s">
        <v>46</v>
      </c>
      <c r="AF89" t="s">
        <v>64</v>
      </c>
      <c r="AG89" t="s">
        <v>99</v>
      </c>
      <c r="AH89" s="2" t="s">
        <v>43</v>
      </c>
    </row>
    <row r="90" spans="1:34" ht="135">
      <c r="A90" s="6" t="s">
        <v>215</v>
      </c>
      <c r="B90" s="7">
        <v>46097</v>
      </c>
      <c r="C90" s="9" t="str">
        <f>HYPERLINK("https://eping.wto.org/en/Search?viewData= G/SPS/N/MYS/72/Rev.1"," G/SPS/N/MYS/72/Rev.1")</f>
        <v xml:space="preserve"> G/SPS/N/MYS/72/Rev.1</v>
      </c>
      <c r="D90" s="8" t="s">
        <v>572</v>
      </c>
      <c r="E90" s="8" t="s">
        <v>573</v>
      </c>
      <c r="F90" s="8" t="s">
        <v>574</v>
      </c>
      <c r="G90" s="8" t="s">
        <v>43</v>
      </c>
      <c r="H90" s="8" t="s">
        <v>43</v>
      </c>
      <c r="I90" s="8" t="s">
        <v>104</v>
      </c>
      <c r="J90" s="8" t="s">
        <v>575</v>
      </c>
      <c r="K90" s="8" t="s">
        <v>530</v>
      </c>
      <c r="L90" s="6" t="s">
        <v>43</v>
      </c>
      <c r="M90" s="7">
        <v>46157</v>
      </c>
      <c r="N90" s="7">
        <v>46143</v>
      </c>
      <c r="O90" s="7">
        <v>46174</v>
      </c>
      <c r="P90" s="6" t="s">
        <v>138</v>
      </c>
      <c r="Q90" s="8" t="s">
        <v>576</v>
      </c>
      <c r="R90" t="str">
        <f>HYPERLINK("https://docs.wto.org/imrd/directdoc.asp?DDFDocuments/t/G/SPS/NMYS72R1.docx", "https://docs.wto.org/imrd/directdoc.asp?DDFDocuments/t/G/SPS/NMYS72R1.docx")</f>
        <v>https://docs.wto.org/imrd/directdoc.asp?DDFDocuments/t/G/SPS/NMYS72R1.docx</v>
      </c>
      <c r="S90" t="str">
        <f>HYPERLINK("https://docs.wto.org/imrd/directdoc.asp?DDFDocuments/u/G/SPS/NMYS72R1.docx", "https://docs.wto.org/imrd/directdoc.asp?DDFDocuments/u/G/SPS/NMYS72R1.docx")</f>
        <v>https://docs.wto.org/imrd/directdoc.asp?DDFDocuments/u/G/SPS/NMYS72R1.docx</v>
      </c>
      <c r="T90" t="str">
        <f>HYPERLINK("https://docs.wto.org/imrd/directdoc.asp?DDFDocuments/v/G/SPS/NMYS72R1.docx", "https://docs.wto.org/imrd/directdoc.asp?DDFDocuments/v/G/SPS/NMYS72R1.docx")</f>
        <v>https://docs.wto.org/imrd/directdoc.asp?DDFDocuments/v/G/SPS/NMYS72R1.docx</v>
      </c>
      <c r="U90" t="s">
        <v>43</v>
      </c>
      <c r="V90" t="s">
        <v>43</v>
      </c>
      <c r="W90" t="s">
        <v>43</v>
      </c>
      <c r="X90" t="s">
        <v>43</v>
      </c>
      <c r="Y90" t="s">
        <v>43</v>
      </c>
      <c r="Z90" t="s">
        <v>43</v>
      </c>
      <c r="AA90" t="s">
        <v>43</v>
      </c>
      <c r="AB90" s="2" t="s">
        <v>43</v>
      </c>
      <c r="AC90" t="s">
        <v>46</v>
      </c>
      <c r="AD90" t="s">
        <v>64</v>
      </c>
      <c r="AE90" t="s">
        <v>46</v>
      </c>
      <c r="AF90" t="s">
        <v>46</v>
      </c>
      <c r="AG90" t="s">
        <v>64</v>
      </c>
      <c r="AH90" s="2" t="s">
        <v>43</v>
      </c>
    </row>
    <row r="91" spans="1:34" ht="60">
      <c r="A91" s="6" t="s">
        <v>577</v>
      </c>
      <c r="B91" s="7">
        <v>46097</v>
      </c>
      <c r="C91" s="9" t="str">
        <f>HYPERLINK("https://eping.wto.org/en/Search?viewData= G/SPS/N/BDI/148, G/SPS/N/KEN/356, G/SPS/N/RWA/141, G/SPS/N/TZA/524, G/SPS/N/UGA/469"," G/SPS/N/BDI/148, G/SPS/N/KEN/356, G/SPS/N/RWA/141, G/SPS/N/TZA/524, G/SPS/N/UGA/469")</f>
        <v xml:space="preserve"> G/SPS/N/BDI/148, G/SPS/N/KEN/356, G/SPS/N/RWA/141, G/SPS/N/TZA/524, G/SPS/N/UGA/469</v>
      </c>
      <c r="D91" s="8" t="s">
        <v>449</v>
      </c>
      <c r="E91" s="8" t="s">
        <v>450</v>
      </c>
      <c r="F91" s="8" t="s">
        <v>451</v>
      </c>
      <c r="G91" s="8" t="s">
        <v>452</v>
      </c>
      <c r="H91" s="8" t="s">
        <v>453</v>
      </c>
      <c r="I91" s="8" t="s">
        <v>58</v>
      </c>
      <c r="J91" s="8" t="s">
        <v>43</v>
      </c>
      <c r="K91" s="8" t="s">
        <v>157</v>
      </c>
      <c r="L91" s="6" t="s">
        <v>43</v>
      </c>
      <c r="M91" s="7">
        <v>46157</v>
      </c>
      <c r="N91" s="7" t="s">
        <v>396</v>
      </c>
      <c r="O91" s="7" t="s">
        <v>304</v>
      </c>
      <c r="P91" s="6" t="s">
        <v>62</v>
      </c>
      <c r="Q91" s="8" t="s">
        <v>454</v>
      </c>
      <c r="R91" t="str">
        <f>HYPERLINK("https://docs.wto.org/imrd/directdoc.asp?DDFDocuments/t/G/SPS/NBDI148.docx", "https://docs.wto.org/imrd/directdoc.asp?DDFDocuments/t/G/SPS/NBDI148.docx")</f>
        <v>https://docs.wto.org/imrd/directdoc.asp?DDFDocuments/t/G/SPS/NBDI148.docx</v>
      </c>
      <c r="S91" t="str">
        <f>HYPERLINK("https://docs.wto.org/imrd/directdoc.asp?DDFDocuments/u/G/SPS/NBDI148.docx", "https://docs.wto.org/imrd/directdoc.asp?DDFDocuments/u/G/SPS/NBDI148.docx")</f>
        <v>https://docs.wto.org/imrd/directdoc.asp?DDFDocuments/u/G/SPS/NBDI148.docx</v>
      </c>
      <c r="T91" t="str">
        <f>HYPERLINK("https://docs.wto.org/imrd/directdoc.asp?DDFDocuments/v/G/SPS/NBDI148.docx", "https://docs.wto.org/imrd/directdoc.asp?DDFDocuments/v/G/SPS/NBDI148.docx")</f>
        <v>https://docs.wto.org/imrd/directdoc.asp?DDFDocuments/v/G/SPS/NBDI148.docx</v>
      </c>
      <c r="U91" t="s">
        <v>43</v>
      </c>
      <c r="V91" t="s">
        <v>43</v>
      </c>
      <c r="W91" t="s">
        <v>43</v>
      </c>
      <c r="X91" t="s">
        <v>43</v>
      </c>
      <c r="Y91" t="s">
        <v>43</v>
      </c>
      <c r="Z91" t="s">
        <v>43</v>
      </c>
      <c r="AA91" t="s">
        <v>43</v>
      </c>
      <c r="AB91" s="2" t="s">
        <v>43</v>
      </c>
      <c r="AC91" t="s">
        <v>46</v>
      </c>
      <c r="AD91" t="s">
        <v>46</v>
      </c>
      <c r="AE91" t="s">
        <v>46</v>
      </c>
      <c r="AF91" t="s">
        <v>64</v>
      </c>
      <c r="AG91" t="s">
        <v>99</v>
      </c>
      <c r="AH91" s="2" t="s">
        <v>43</v>
      </c>
    </row>
    <row r="92" spans="1:34" ht="60">
      <c r="A92" s="6" t="s">
        <v>185</v>
      </c>
      <c r="B92" s="7">
        <v>46097</v>
      </c>
      <c r="C92" s="9" t="str">
        <f>HYPERLINK("https://eping.wto.org/en/Search?viewData= G/TBT/N/CHN/2215"," G/TBT/N/CHN/2215")</f>
        <v xml:space="preserve"> G/TBT/N/CHN/2215</v>
      </c>
      <c r="D92" s="8" t="s">
        <v>578</v>
      </c>
      <c r="E92" s="8" t="s">
        <v>579</v>
      </c>
      <c r="F92" s="8" t="s">
        <v>580</v>
      </c>
      <c r="G92" s="8" t="s">
        <v>581</v>
      </c>
      <c r="H92" s="8" t="s">
        <v>412</v>
      </c>
      <c r="I92" s="8" t="s">
        <v>413</v>
      </c>
      <c r="J92" s="8" t="s">
        <v>43</v>
      </c>
      <c r="K92" s="8" t="s">
        <v>43</v>
      </c>
      <c r="L92" s="6"/>
      <c r="M92" s="7">
        <v>46157</v>
      </c>
      <c r="N92" s="7" t="s">
        <v>79</v>
      </c>
      <c r="O92" s="7" t="s">
        <v>414</v>
      </c>
      <c r="P92" s="6" t="s">
        <v>62</v>
      </c>
      <c r="Q92" s="8" t="s">
        <v>582</v>
      </c>
      <c r="R92" t="str">
        <f>HYPERLINK("https://docs.wto.org/imrd/directdoc.asp?DDFDocuments/t/G/TBTN26/CHN2215.docx", "https://docs.wto.org/imrd/directdoc.asp?DDFDocuments/t/G/TBTN26/CHN2215.docx")</f>
        <v>https://docs.wto.org/imrd/directdoc.asp?DDFDocuments/t/G/TBTN26/CHN2215.docx</v>
      </c>
      <c r="S92" t="str">
        <f>HYPERLINK("https://docs.wto.org/imrd/directdoc.asp?DDFDocuments/u/G/TBTN26/CHN2215.docx", "https://docs.wto.org/imrd/directdoc.asp?DDFDocuments/u/G/TBTN26/CHN2215.docx")</f>
        <v>https://docs.wto.org/imrd/directdoc.asp?DDFDocuments/u/G/TBTN26/CHN2215.docx</v>
      </c>
      <c r="T92" t="str">
        <f>HYPERLINK("https://docs.wto.org/imrd/directdoc.asp?DDFDocuments/v/G/TBTN26/CHN2215.docx", "https://docs.wto.org/imrd/directdoc.asp?DDFDocuments/v/G/TBTN26/CHN2215.docx")</f>
        <v>https://docs.wto.org/imrd/directdoc.asp?DDFDocuments/v/G/TBTN26/CHN2215.docx</v>
      </c>
      <c r="U92" t="s">
        <v>46</v>
      </c>
      <c r="V92" t="s">
        <v>46</v>
      </c>
      <c r="W92" t="s">
        <v>64</v>
      </c>
      <c r="X92" t="s">
        <v>46</v>
      </c>
      <c r="Y92" t="s">
        <v>46</v>
      </c>
      <c r="Z92" t="s">
        <v>46</v>
      </c>
      <c r="AA92" t="s">
        <v>46</v>
      </c>
      <c r="AB92" s="2" t="s">
        <v>43</v>
      </c>
      <c r="AC92" t="s">
        <v>43</v>
      </c>
      <c r="AD92" t="s">
        <v>43</v>
      </c>
      <c r="AE92" t="s">
        <v>43</v>
      </c>
      <c r="AF92" t="s">
        <v>43</v>
      </c>
      <c r="AG92" t="s">
        <v>43</v>
      </c>
      <c r="AH92" s="2" t="s">
        <v>43</v>
      </c>
    </row>
    <row r="93" spans="1:34" ht="60">
      <c r="A93" s="6" t="s">
        <v>185</v>
      </c>
      <c r="B93" s="7">
        <v>46097</v>
      </c>
      <c r="C93" s="9" t="str">
        <f>HYPERLINK("https://eping.wto.org/en/Search?viewData= G/TBT/N/CHN/2223"," G/TBT/N/CHN/2223")</f>
        <v xml:space="preserve"> G/TBT/N/CHN/2223</v>
      </c>
      <c r="D93" s="8" t="s">
        <v>583</v>
      </c>
      <c r="E93" s="8" t="s">
        <v>584</v>
      </c>
      <c r="F93" s="8" t="s">
        <v>585</v>
      </c>
      <c r="G93" s="8" t="s">
        <v>411</v>
      </c>
      <c r="H93" s="8" t="s">
        <v>412</v>
      </c>
      <c r="I93" s="8" t="s">
        <v>413</v>
      </c>
      <c r="J93" s="8" t="s">
        <v>43</v>
      </c>
      <c r="K93" s="8" t="s">
        <v>43</v>
      </c>
      <c r="L93" s="6"/>
      <c r="M93" s="7">
        <v>46157</v>
      </c>
      <c r="N93" s="7" t="s">
        <v>79</v>
      </c>
      <c r="O93" s="7" t="s">
        <v>414</v>
      </c>
      <c r="P93" s="6" t="s">
        <v>62</v>
      </c>
      <c r="Q93" s="8" t="s">
        <v>586</v>
      </c>
      <c r="R93" t="str">
        <f>HYPERLINK("https://docs.wto.org/imrd/directdoc.asp?DDFDocuments/t/G/TBTN26/CHN2223.docx", "https://docs.wto.org/imrd/directdoc.asp?DDFDocuments/t/G/TBTN26/CHN2223.docx")</f>
        <v>https://docs.wto.org/imrd/directdoc.asp?DDFDocuments/t/G/TBTN26/CHN2223.docx</v>
      </c>
      <c r="S93" t="str">
        <f>HYPERLINK("https://docs.wto.org/imrd/directdoc.asp?DDFDocuments/u/G/TBTN26/CHN2223.docx", "https://docs.wto.org/imrd/directdoc.asp?DDFDocuments/u/G/TBTN26/CHN2223.docx")</f>
        <v>https://docs.wto.org/imrd/directdoc.asp?DDFDocuments/u/G/TBTN26/CHN2223.docx</v>
      </c>
      <c r="T93" t="str">
        <f>HYPERLINK("https://docs.wto.org/imrd/directdoc.asp?DDFDocuments/v/G/TBTN26/CHN2223.docx", "https://docs.wto.org/imrd/directdoc.asp?DDFDocuments/v/G/TBTN26/CHN2223.docx")</f>
        <v>https://docs.wto.org/imrd/directdoc.asp?DDFDocuments/v/G/TBTN26/CHN2223.docx</v>
      </c>
      <c r="U93" t="s">
        <v>46</v>
      </c>
      <c r="V93" t="s">
        <v>46</v>
      </c>
      <c r="W93" t="s">
        <v>64</v>
      </c>
      <c r="X93" t="s">
        <v>46</v>
      </c>
      <c r="Y93" t="s">
        <v>46</v>
      </c>
      <c r="Z93" t="s">
        <v>46</v>
      </c>
      <c r="AA93" t="s">
        <v>46</v>
      </c>
      <c r="AB93" s="2" t="s">
        <v>43</v>
      </c>
      <c r="AC93" t="s">
        <v>43</v>
      </c>
      <c r="AD93" t="s">
        <v>43</v>
      </c>
      <c r="AE93" t="s">
        <v>43</v>
      </c>
      <c r="AF93" t="s">
        <v>43</v>
      </c>
      <c r="AG93" t="s">
        <v>43</v>
      </c>
      <c r="AH93" s="2" t="s">
        <v>43</v>
      </c>
    </row>
    <row r="94" spans="1:34" ht="45">
      <c r="A94" s="6" t="s">
        <v>185</v>
      </c>
      <c r="B94" s="7">
        <v>46097</v>
      </c>
      <c r="C94" s="9" t="str">
        <f>HYPERLINK("https://eping.wto.org/en/Search?viewData= G/TBT/N/CHN/2208"," G/TBT/N/CHN/2208")</f>
        <v xml:space="preserve"> G/TBT/N/CHN/2208</v>
      </c>
      <c r="D94" s="8" t="s">
        <v>587</v>
      </c>
      <c r="E94" s="8" t="s">
        <v>588</v>
      </c>
      <c r="F94" s="8" t="s">
        <v>589</v>
      </c>
      <c r="G94" s="8" t="s">
        <v>548</v>
      </c>
      <c r="H94" s="8" t="s">
        <v>465</v>
      </c>
      <c r="I94" s="8" t="s">
        <v>413</v>
      </c>
      <c r="J94" s="8" t="s">
        <v>43</v>
      </c>
      <c r="K94" s="8" t="s">
        <v>43</v>
      </c>
      <c r="L94" s="6"/>
      <c r="M94" s="7">
        <v>46157</v>
      </c>
      <c r="N94" s="7" t="s">
        <v>79</v>
      </c>
      <c r="O94" s="7" t="s">
        <v>192</v>
      </c>
      <c r="P94" s="6" t="s">
        <v>62</v>
      </c>
      <c r="Q94" s="8" t="s">
        <v>590</v>
      </c>
      <c r="R94" t="str">
        <f>HYPERLINK("https://docs.wto.org/imrd/directdoc.asp?DDFDocuments/t/G/TBTN26/CHN2208.docx", "https://docs.wto.org/imrd/directdoc.asp?DDFDocuments/t/G/TBTN26/CHN2208.docx")</f>
        <v>https://docs.wto.org/imrd/directdoc.asp?DDFDocuments/t/G/TBTN26/CHN2208.docx</v>
      </c>
      <c r="S94" t="str">
        <f>HYPERLINK("https://docs.wto.org/imrd/directdoc.asp?DDFDocuments/u/G/TBTN26/CHN2208.docx", "https://docs.wto.org/imrd/directdoc.asp?DDFDocuments/u/G/TBTN26/CHN2208.docx")</f>
        <v>https://docs.wto.org/imrd/directdoc.asp?DDFDocuments/u/G/TBTN26/CHN2208.docx</v>
      </c>
      <c r="T94" t="str">
        <f>HYPERLINK("https://docs.wto.org/imrd/directdoc.asp?DDFDocuments/v/G/TBTN26/CHN2208.docx", "https://docs.wto.org/imrd/directdoc.asp?DDFDocuments/v/G/TBTN26/CHN2208.docx")</f>
        <v>https://docs.wto.org/imrd/directdoc.asp?DDFDocuments/v/G/TBTN26/CHN2208.docx</v>
      </c>
      <c r="U94" t="s">
        <v>64</v>
      </c>
      <c r="V94" t="s">
        <v>46</v>
      </c>
      <c r="W94" t="s">
        <v>46</v>
      </c>
      <c r="X94" t="s">
        <v>46</v>
      </c>
      <c r="Y94" t="s">
        <v>46</v>
      </c>
      <c r="Z94" t="s">
        <v>46</v>
      </c>
      <c r="AA94" t="s">
        <v>46</v>
      </c>
      <c r="AB94" s="2" t="s">
        <v>43</v>
      </c>
      <c r="AC94" t="s">
        <v>43</v>
      </c>
      <c r="AD94" t="s">
        <v>43</v>
      </c>
      <c r="AE94" t="s">
        <v>43</v>
      </c>
      <c r="AF94" t="s">
        <v>43</v>
      </c>
      <c r="AG94" t="s">
        <v>43</v>
      </c>
      <c r="AH94" s="2" t="s">
        <v>43</v>
      </c>
    </row>
    <row r="95" spans="1:34" ht="195">
      <c r="A95" s="6" t="s">
        <v>89</v>
      </c>
      <c r="B95" s="7">
        <v>46097</v>
      </c>
      <c r="C95" s="9" t="str">
        <f>HYPERLINK("https://eping.wto.org/en/Search?viewData= G/TBT/N/CRI/193/Add.19"," G/TBT/N/CRI/193/Add.19")</f>
        <v xml:space="preserve"> G/TBT/N/CRI/193/Add.19</v>
      </c>
      <c r="D95" s="8" t="s">
        <v>416</v>
      </c>
      <c r="E95" s="8" t="s">
        <v>591</v>
      </c>
      <c r="F95" s="8" t="s">
        <v>418</v>
      </c>
      <c r="G95" s="8" t="s">
        <v>43</v>
      </c>
      <c r="H95" s="8" t="s">
        <v>419</v>
      </c>
      <c r="I95" s="8" t="s">
        <v>420</v>
      </c>
      <c r="J95" s="8" t="s">
        <v>421</v>
      </c>
      <c r="K95" s="8" t="s">
        <v>43</v>
      </c>
      <c r="L95" s="6"/>
      <c r="M95" s="7" t="s">
        <v>43</v>
      </c>
      <c r="N95" s="7"/>
      <c r="O95" s="7"/>
      <c r="P95" s="6" t="s">
        <v>44</v>
      </c>
      <c r="Q95" s="8" t="s">
        <v>592</v>
      </c>
      <c r="R95" t="str">
        <f>HYPERLINK("https://docs.wto.org/imrd/directdoc.asp?DDFDocuments/t/G/TBTN21/CRI193A19.docx", "https://docs.wto.org/imrd/directdoc.asp?DDFDocuments/t/G/TBTN21/CRI193A19.docx")</f>
        <v>https://docs.wto.org/imrd/directdoc.asp?DDFDocuments/t/G/TBTN21/CRI193A19.docx</v>
      </c>
      <c r="S95" t="str">
        <f>HYPERLINK("https://docs.wto.org/imrd/directdoc.asp?DDFDocuments/u/G/TBTN21/CRI193A19.docx", "https://docs.wto.org/imrd/directdoc.asp?DDFDocuments/u/G/TBTN21/CRI193A19.docx")</f>
        <v>https://docs.wto.org/imrd/directdoc.asp?DDFDocuments/u/G/TBTN21/CRI193A19.docx</v>
      </c>
      <c r="T95" t="str">
        <f>HYPERLINK("https://docs.wto.org/imrd/directdoc.asp?DDFDocuments/v/G/TBTN21/CRI193A19.docx", "https://docs.wto.org/imrd/directdoc.asp?DDFDocuments/v/G/TBTN21/CRI193A19.docx")</f>
        <v>https://docs.wto.org/imrd/directdoc.asp?DDFDocuments/v/G/TBTN21/CRI193A19.docx</v>
      </c>
      <c r="U95" t="s">
        <v>64</v>
      </c>
      <c r="V95" t="s">
        <v>46</v>
      </c>
      <c r="W95" t="s">
        <v>46</v>
      </c>
      <c r="X95" t="s">
        <v>46</v>
      </c>
      <c r="Y95" t="s">
        <v>46</v>
      </c>
      <c r="Z95" t="s">
        <v>46</v>
      </c>
      <c r="AA95" t="s">
        <v>46</v>
      </c>
      <c r="AB95" s="2" t="s">
        <v>43</v>
      </c>
      <c r="AC95" t="s">
        <v>43</v>
      </c>
      <c r="AD95" t="s">
        <v>43</v>
      </c>
      <c r="AE95" t="s">
        <v>43</v>
      </c>
      <c r="AF95" t="s">
        <v>43</v>
      </c>
      <c r="AG95" t="s">
        <v>43</v>
      </c>
      <c r="AH95" s="2" t="s">
        <v>43</v>
      </c>
    </row>
    <row r="96" spans="1:34" ht="105">
      <c r="A96" s="6" t="s">
        <v>132</v>
      </c>
      <c r="B96" s="7">
        <v>46097</v>
      </c>
      <c r="C96" s="9" t="str">
        <f>HYPERLINK("https://eping.wto.org/en/Search?viewData= G/SPS/N/USA/3563"," G/SPS/N/USA/3563")</f>
        <v xml:space="preserve"> G/SPS/N/USA/3563</v>
      </c>
      <c r="D96" s="8" t="s">
        <v>593</v>
      </c>
      <c r="E96" s="8" t="s">
        <v>594</v>
      </c>
      <c r="F96" s="8" t="s">
        <v>595</v>
      </c>
      <c r="G96" s="8" t="s">
        <v>43</v>
      </c>
      <c r="H96" s="8" t="s">
        <v>43</v>
      </c>
      <c r="I96" s="8" t="s">
        <v>254</v>
      </c>
      <c r="J96" s="8" t="s">
        <v>43</v>
      </c>
      <c r="K96" s="8" t="s">
        <v>596</v>
      </c>
      <c r="L96" s="6" t="s">
        <v>597</v>
      </c>
      <c r="M96" s="7">
        <v>46146</v>
      </c>
      <c r="N96" s="7" t="s">
        <v>304</v>
      </c>
      <c r="O96" s="7" t="s">
        <v>304</v>
      </c>
      <c r="P96" s="6" t="s">
        <v>62</v>
      </c>
      <c r="Q96" s="8" t="s">
        <v>598</v>
      </c>
      <c r="R96" t="str">
        <f>HYPERLINK("https://docs.wto.org/imrd/directdoc.asp?DDFDocuments/t/G/SPS/NUSA3563.docx", "https://docs.wto.org/imrd/directdoc.asp?DDFDocuments/t/G/SPS/NUSA3563.docx")</f>
        <v>https://docs.wto.org/imrd/directdoc.asp?DDFDocuments/t/G/SPS/NUSA3563.docx</v>
      </c>
      <c r="S96" t="str">
        <f>HYPERLINK("https://docs.wto.org/imrd/directdoc.asp?DDFDocuments/u/G/SPS/NUSA3563.docx", "https://docs.wto.org/imrd/directdoc.asp?DDFDocuments/u/G/SPS/NUSA3563.docx")</f>
        <v>https://docs.wto.org/imrd/directdoc.asp?DDFDocuments/u/G/SPS/NUSA3563.docx</v>
      </c>
      <c r="T96" t="str">
        <f>HYPERLINK("https://docs.wto.org/imrd/directdoc.asp?DDFDocuments/v/G/SPS/NUSA3563.docx", "https://docs.wto.org/imrd/directdoc.asp?DDFDocuments/v/G/SPS/NUSA3563.docx")</f>
        <v>https://docs.wto.org/imrd/directdoc.asp?DDFDocuments/v/G/SPS/NUSA3563.docx</v>
      </c>
      <c r="U96" t="s">
        <v>43</v>
      </c>
      <c r="V96" t="s">
        <v>43</v>
      </c>
      <c r="W96" t="s">
        <v>43</v>
      </c>
      <c r="X96" t="s">
        <v>43</v>
      </c>
      <c r="Y96" t="s">
        <v>43</v>
      </c>
      <c r="Z96" t="s">
        <v>43</v>
      </c>
      <c r="AA96" t="s">
        <v>43</v>
      </c>
      <c r="AB96" s="2" t="s">
        <v>43</v>
      </c>
      <c r="AC96" t="s">
        <v>46</v>
      </c>
      <c r="AD96" t="s">
        <v>46</v>
      </c>
      <c r="AE96" t="s">
        <v>46</v>
      </c>
      <c r="AF96" t="s">
        <v>64</v>
      </c>
      <c r="AG96" t="s">
        <v>99</v>
      </c>
      <c r="AH96" s="2" t="s">
        <v>43</v>
      </c>
    </row>
    <row r="97" spans="1:34" ht="60">
      <c r="A97" s="6" t="s">
        <v>185</v>
      </c>
      <c r="B97" s="7">
        <v>46097</v>
      </c>
      <c r="C97" s="9" t="str">
        <f>HYPERLINK("https://eping.wto.org/en/Search?viewData= G/TBT/N/CHN/2226"," G/TBT/N/CHN/2226")</f>
        <v xml:space="preserve"> G/TBT/N/CHN/2226</v>
      </c>
      <c r="D97" s="8" t="s">
        <v>599</v>
      </c>
      <c r="E97" s="8" t="s">
        <v>600</v>
      </c>
      <c r="F97" s="8" t="s">
        <v>601</v>
      </c>
      <c r="G97" s="8" t="s">
        <v>602</v>
      </c>
      <c r="H97" s="8" t="s">
        <v>603</v>
      </c>
      <c r="I97" s="8" t="s">
        <v>143</v>
      </c>
      <c r="J97" s="8" t="s">
        <v>43</v>
      </c>
      <c r="K97" s="8" t="s">
        <v>43</v>
      </c>
      <c r="L97" s="6"/>
      <c r="M97" s="7">
        <v>46157</v>
      </c>
      <c r="N97" s="7" t="s">
        <v>79</v>
      </c>
      <c r="O97" s="7" t="s">
        <v>192</v>
      </c>
      <c r="P97" s="6" t="s">
        <v>62</v>
      </c>
      <c r="Q97" s="8" t="s">
        <v>604</v>
      </c>
      <c r="R97" t="str">
        <f>HYPERLINK("https://docs.wto.org/imrd/directdoc.asp?DDFDocuments/t/G/TBTN26/CHN2226.docx", "https://docs.wto.org/imrd/directdoc.asp?DDFDocuments/t/G/TBTN26/CHN2226.docx")</f>
        <v>https://docs.wto.org/imrd/directdoc.asp?DDFDocuments/t/G/TBTN26/CHN2226.docx</v>
      </c>
      <c r="S97" t="str">
        <f>HYPERLINK("https://docs.wto.org/imrd/directdoc.asp?DDFDocuments/u/G/TBTN26/CHN2226.docx", "https://docs.wto.org/imrd/directdoc.asp?DDFDocuments/u/G/TBTN26/CHN2226.docx")</f>
        <v>https://docs.wto.org/imrd/directdoc.asp?DDFDocuments/u/G/TBTN26/CHN2226.docx</v>
      </c>
      <c r="T97" t="str">
        <f>HYPERLINK("https://docs.wto.org/imrd/directdoc.asp?DDFDocuments/v/G/TBTN26/CHN2226.docx", "https://docs.wto.org/imrd/directdoc.asp?DDFDocuments/v/G/TBTN26/CHN2226.docx")</f>
        <v>https://docs.wto.org/imrd/directdoc.asp?DDFDocuments/v/G/TBTN26/CHN2226.docx</v>
      </c>
      <c r="U97" t="s">
        <v>64</v>
      </c>
      <c r="V97" t="s">
        <v>46</v>
      </c>
      <c r="W97" t="s">
        <v>46</v>
      </c>
      <c r="X97" t="s">
        <v>46</v>
      </c>
      <c r="Y97" t="s">
        <v>46</v>
      </c>
      <c r="Z97" t="s">
        <v>46</v>
      </c>
      <c r="AA97" t="s">
        <v>46</v>
      </c>
      <c r="AB97" s="2" t="s">
        <v>43</v>
      </c>
      <c r="AC97" t="s">
        <v>43</v>
      </c>
      <c r="AD97" t="s">
        <v>43</v>
      </c>
      <c r="AE97" t="s">
        <v>43</v>
      </c>
      <c r="AF97" t="s">
        <v>43</v>
      </c>
      <c r="AG97" t="s">
        <v>43</v>
      </c>
      <c r="AH97" s="2" t="s">
        <v>43</v>
      </c>
    </row>
    <row r="98" spans="1:34" ht="45">
      <c r="A98" s="6" t="s">
        <v>185</v>
      </c>
      <c r="B98" s="7">
        <v>46097</v>
      </c>
      <c r="C98" s="9" t="str">
        <f>HYPERLINK("https://eping.wto.org/en/Search?viewData= G/TBT/N/CHN/2227"," G/TBT/N/CHN/2227")</f>
        <v xml:space="preserve"> G/TBT/N/CHN/2227</v>
      </c>
      <c r="D98" s="8" t="s">
        <v>605</v>
      </c>
      <c r="E98" s="8" t="s">
        <v>606</v>
      </c>
      <c r="F98" s="8" t="s">
        <v>607</v>
      </c>
      <c r="G98" s="8" t="s">
        <v>608</v>
      </c>
      <c r="H98" s="8" t="s">
        <v>562</v>
      </c>
      <c r="I98" s="8" t="s">
        <v>413</v>
      </c>
      <c r="J98" s="8" t="s">
        <v>43</v>
      </c>
      <c r="K98" s="8" t="s">
        <v>43</v>
      </c>
      <c r="L98" s="6"/>
      <c r="M98" s="7">
        <v>46157</v>
      </c>
      <c r="N98" s="7" t="s">
        <v>79</v>
      </c>
      <c r="O98" s="7">
        <v>46753</v>
      </c>
      <c r="P98" s="6" t="s">
        <v>62</v>
      </c>
      <c r="Q98" s="8" t="s">
        <v>609</v>
      </c>
      <c r="R98" t="str">
        <f>HYPERLINK("https://docs.wto.org/imrd/directdoc.asp?DDFDocuments/t/G/TBTN26/CHN2227.docx", "https://docs.wto.org/imrd/directdoc.asp?DDFDocuments/t/G/TBTN26/CHN2227.docx")</f>
        <v>https://docs.wto.org/imrd/directdoc.asp?DDFDocuments/t/G/TBTN26/CHN2227.docx</v>
      </c>
      <c r="S98" t="str">
        <f>HYPERLINK("https://docs.wto.org/imrd/directdoc.asp?DDFDocuments/u/G/TBTN26/CHN2227.docx", "https://docs.wto.org/imrd/directdoc.asp?DDFDocuments/u/G/TBTN26/CHN2227.docx")</f>
        <v>https://docs.wto.org/imrd/directdoc.asp?DDFDocuments/u/G/TBTN26/CHN2227.docx</v>
      </c>
      <c r="T98" t="str">
        <f>HYPERLINK("https://docs.wto.org/imrd/directdoc.asp?DDFDocuments/v/G/TBTN26/CHN2227.docx", "https://docs.wto.org/imrd/directdoc.asp?DDFDocuments/v/G/TBTN26/CHN2227.docx")</f>
        <v>https://docs.wto.org/imrd/directdoc.asp?DDFDocuments/v/G/TBTN26/CHN2227.docx</v>
      </c>
      <c r="U98" t="s">
        <v>64</v>
      </c>
      <c r="V98" t="s">
        <v>46</v>
      </c>
      <c r="W98" t="s">
        <v>46</v>
      </c>
      <c r="X98" t="s">
        <v>46</v>
      </c>
      <c r="Y98" t="s">
        <v>46</v>
      </c>
      <c r="Z98" t="s">
        <v>46</v>
      </c>
      <c r="AA98" t="s">
        <v>46</v>
      </c>
      <c r="AB98" s="2" t="s">
        <v>610</v>
      </c>
      <c r="AC98" t="s">
        <v>43</v>
      </c>
      <c r="AD98" t="s">
        <v>43</v>
      </c>
      <c r="AE98" t="s">
        <v>43</v>
      </c>
      <c r="AF98" t="s">
        <v>43</v>
      </c>
      <c r="AG98" t="s">
        <v>43</v>
      </c>
      <c r="AH98" s="2" t="s">
        <v>43</v>
      </c>
    </row>
    <row r="99" spans="1:34" ht="60">
      <c r="A99" s="6" t="s">
        <v>185</v>
      </c>
      <c r="B99" s="7">
        <v>46097</v>
      </c>
      <c r="C99" s="9" t="str">
        <f>HYPERLINK("https://eping.wto.org/en/Search?viewData= G/TBT/N/CHN/2224"," G/TBT/N/CHN/2224")</f>
        <v xml:space="preserve"> G/TBT/N/CHN/2224</v>
      </c>
      <c r="D99" s="8" t="s">
        <v>611</v>
      </c>
      <c r="E99" s="8" t="s">
        <v>612</v>
      </c>
      <c r="F99" s="8" t="s">
        <v>613</v>
      </c>
      <c r="G99" s="8" t="s">
        <v>614</v>
      </c>
      <c r="H99" s="8" t="s">
        <v>412</v>
      </c>
      <c r="I99" s="8" t="s">
        <v>413</v>
      </c>
      <c r="J99" s="8" t="s">
        <v>43</v>
      </c>
      <c r="K99" s="8" t="s">
        <v>43</v>
      </c>
      <c r="L99" s="6"/>
      <c r="M99" s="7">
        <v>46157</v>
      </c>
      <c r="N99" s="7" t="s">
        <v>79</v>
      </c>
      <c r="O99" s="7" t="s">
        <v>414</v>
      </c>
      <c r="P99" s="6" t="s">
        <v>62</v>
      </c>
      <c r="Q99" s="8" t="s">
        <v>615</v>
      </c>
      <c r="R99" t="str">
        <f>HYPERLINK("https://docs.wto.org/imrd/directdoc.asp?DDFDocuments/t/G/TBTN26/CHN2224.docx", "https://docs.wto.org/imrd/directdoc.asp?DDFDocuments/t/G/TBTN26/CHN2224.docx")</f>
        <v>https://docs.wto.org/imrd/directdoc.asp?DDFDocuments/t/G/TBTN26/CHN2224.docx</v>
      </c>
      <c r="S99" t="str">
        <f>HYPERLINK("https://docs.wto.org/imrd/directdoc.asp?DDFDocuments/u/G/TBTN26/CHN2224.docx", "https://docs.wto.org/imrd/directdoc.asp?DDFDocuments/u/G/TBTN26/CHN2224.docx")</f>
        <v>https://docs.wto.org/imrd/directdoc.asp?DDFDocuments/u/G/TBTN26/CHN2224.docx</v>
      </c>
      <c r="T99" t="str">
        <f>HYPERLINK("https://docs.wto.org/imrd/directdoc.asp?DDFDocuments/v/G/TBTN26/CHN2224.docx", "https://docs.wto.org/imrd/directdoc.asp?DDFDocuments/v/G/TBTN26/CHN2224.docx")</f>
        <v>https://docs.wto.org/imrd/directdoc.asp?DDFDocuments/v/G/TBTN26/CHN2224.docx</v>
      </c>
      <c r="U99" t="s">
        <v>46</v>
      </c>
      <c r="V99" t="s">
        <v>46</v>
      </c>
      <c r="W99" t="s">
        <v>64</v>
      </c>
      <c r="X99" t="s">
        <v>46</v>
      </c>
      <c r="Y99" t="s">
        <v>46</v>
      </c>
      <c r="Z99" t="s">
        <v>46</v>
      </c>
      <c r="AA99" t="s">
        <v>46</v>
      </c>
      <c r="AB99" s="2" t="s">
        <v>43</v>
      </c>
      <c r="AC99" t="s">
        <v>43</v>
      </c>
      <c r="AD99" t="s">
        <v>43</v>
      </c>
      <c r="AE99" t="s">
        <v>43</v>
      </c>
      <c r="AF99" t="s">
        <v>43</v>
      </c>
      <c r="AG99" t="s">
        <v>43</v>
      </c>
      <c r="AH99" s="2" t="s">
        <v>43</v>
      </c>
    </row>
    <row r="100" spans="1:34" ht="60">
      <c r="A100" s="6" t="s">
        <v>289</v>
      </c>
      <c r="B100" s="7">
        <v>46097</v>
      </c>
      <c r="C100" s="9" t="str">
        <f>HYPERLINK("https://eping.wto.org/en/Search?viewData= G/TBT/N/BRA/1591/Add.1/Corr.1"," G/TBT/N/BRA/1591/Add.1/Corr.1")</f>
        <v xml:space="preserve"> G/TBT/N/BRA/1591/Add.1/Corr.1</v>
      </c>
      <c r="D100" s="8" t="s">
        <v>616</v>
      </c>
      <c r="E100" s="8" t="s">
        <v>617</v>
      </c>
      <c r="F100" s="8" t="s">
        <v>618</v>
      </c>
      <c r="G100" s="8" t="s">
        <v>619</v>
      </c>
      <c r="H100" s="8" t="s">
        <v>620</v>
      </c>
      <c r="I100" s="8" t="s">
        <v>621</v>
      </c>
      <c r="J100" s="8" t="s">
        <v>622</v>
      </c>
      <c r="K100" s="8" t="s">
        <v>623</v>
      </c>
      <c r="L100" s="6"/>
      <c r="M100" s="7" t="s">
        <v>43</v>
      </c>
      <c r="N100" s="7"/>
      <c r="O100" s="7"/>
      <c r="P100" s="6" t="s">
        <v>296</v>
      </c>
      <c r="Q100" s="8" t="s">
        <v>624</v>
      </c>
      <c r="R100" t="str">
        <f>HYPERLINK("https://docs.wto.org/imrd/directdoc.asp?DDFDocuments/t/G/TBTN25/BRA1591A1C1.docx", "https://docs.wto.org/imrd/directdoc.asp?DDFDocuments/t/G/TBTN25/BRA1591A1C1.docx")</f>
        <v>https://docs.wto.org/imrd/directdoc.asp?DDFDocuments/t/G/TBTN25/BRA1591A1C1.docx</v>
      </c>
      <c r="S100" t="str">
        <f>HYPERLINK("https://docs.wto.org/imrd/directdoc.asp?DDFDocuments/u/G/TBTN25/BRA1591A1C1.docx", "https://docs.wto.org/imrd/directdoc.asp?DDFDocuments/u/G/TBTN25/BRA1591A1C1.docx")</f>
        <v>https://docs.wto.org/imrd/directdoc.asp?DDFDocuments/u/G/TBTN25/BRA1591A1C1.docx</v>
      </c>
      <c r="T100" t="str">
        <f>HYPERLINK("https://docs.wto.org/imrd/directdoc.asp?DDFDocuments/v/G/TBTN25/BRA1591A1C1.docx", "https://docs.wto.org/imrd/directdoc.asp?DDFDocuments/v/G/TBTN25/BRA1591A1C1.docx")</f>
        <v>https://docs.wto.org/imrd/directdoc.asp?DDFDocuments/v/G/TBTN25/BRA1591A1C1.docx</v>
      </c>
      <c r="U100" t="s">
        <v>64</v>
      </c>
      <c r="V100" t="s">
        <v>46</v>
      </c>
      <c r="W100" t="s">
        <v>46</v>
      </c>
      <c r="X100" t="s">
        <v>46</v>
      </c>
      <c r="Y100" t="s">
        <v>46</v>
      </c>
      <c r="Z100" t="s">
        <v>46</v>
      </c>
      <c r="AA100" t="s">
        <v>46</v>
      </c>
      <c r="AB100" s="2" t="s">
        <v>43</v>
      </c>
      <c r="AC100" t="s">
        <v>43</v>
      </c>
      <c r="AD100" t="s">
        <v>43</v>
      </c>
      <c r="AE100" t="s">
        <v>43</v>
      </c>
      <c r="AF100" t="s">
        <v>43</v>
      </c>
      <c r="AG100" t="s">
        <v>43</v>
      </c>
      <c r="AH100" s="2" t="s">
        <v>43</v>
      </c>
    </row>
    <row r="101" spans="1:34" ht="60">
      <c r="A101" s="6" t="s">
        <v>185</v>
      </c>
      <c r="B101" s="7">
        <v>46097</v>
      </c>
      <c r="C101" s="9" t="str">
        <f>HYPERLINK("https://eping.wto.org/en/Search?viewData= G/TBT/N/CHN/2212"," G/TBT/N/CHN/2212")</f>
        <v xml:space="preserve"> G/TBT/N/CHN/2212</v>
      </c>
      <c r="D101" s="8" t="s">
        <v>625</v>
      </c>
      <c r="E101" s="8" t="s">
        <v>626</v>
      </c>
      <c r="F101" s="8" t="s">
        <v>627</v>
      </c>
      <c r="G101" s="8" t="s">
        <v>538</v>
      </c>
      <c r="H101" s="8" t="s">
        <v>412</v>
      </c>
      <c r="I101" s="8" t="s">
        <v>413</v>
      </c>
      <c r="J101" s="8" t="s">
        <v>43</v>
      </c>
      <c r="K101" s="8" t="s">
        <v>43</v>
      </c>
      <c r="L101" s="6"/>
      <c r="M101" s="7">
        <v>46157</v>
      </c>
      <c r="N101" s="7" t="s">
        <v>79</v>
      </c>
      <c r="O101" s="7" t="s">
        <v>414</v>
      </c>
      <c r="P101" s="6" t="s">
        <v>62</v>
      </c>
      <c r="Q101" s="8" t="s">
        <v>628</v>
      </c>
      <c r="R101" t="str">
        <f>HYPERLINK("https://docs.wto.org/imrd/directdoc.asp?DDFDocuments/t/G/TBTN26/CHN2212.docx", "https://docs.wto.org/imrd/directdoc.asp?DDFDocuments/t/G/TBTN26/CHN2212.docx")</f>
        <v>https://docs.wto.org/imrd/directdoc.asp?DDFDocuments/t/G/TBTN26/CHN2212.docx</v>
      </c>
      <c r="S101" t="str">
        <f>HYPERLINK("https://docs.wto.org/imrd/directdoc.asp?DDFDocuments/u/G/TBTN26/CHN2212.docx", "https://docs.wto.org/imrd/directdoc.asp?DDFDocuments/u/G/TBTN26/CHN2212.docx")</f>
        <v>https://docs.wto.org/imrd/directdoc.asp?DDFDocuments/u/G/TBTN26/CHN2212.docx</v>
      </c>
      <c r="T101" t="str">
        <f>HYPERLINK("https://docs.wto.org/imrd/directdoc.asp?DDFDocuments/v/G/TBTN26/CHN2212.docx", "https://docs.wto.org/imrd/directdoc.asp?DDFDocuments/v/G/TBTN26/CHN2212.docx")</f>
        <v>https://docs.wto.org/imrd/directdoc.asp?DDFDocuments/v/G/TBTN26/CHN2212.docx</v>
      </c>
      <c r="U101" t="s">
        <v>46</v>
      </c>
      <c r="V101" t="s">
        <v>46</v>
      </c>
      <c r="W101" t="s">
        <v>64</v>
      </c>
      <c r="X101" t="s">
        <v>46</v>
      </c>
      <c r="Y101" t="s">
        <v>46</v>
      </c>
      <c r="Z101" t="s">
        <v>46</v>
      </c>
      <c r="AA101" t="s">
        <v>46</v>
      </c>
      <c r="AB101" s="2" t="s">
        <v>43</v>
      </c>
      <c r="AC101" t="s">
        <v>43</v>
      </c>
      <c r="AD101" t="s">
        <v>43</v>
      </c>
      <c r="AE101" t="s">
        <v>43</v>
      </c>
      <c r="AF101" t="s">
        <v>43</v>
      </c>
      <c r="AG101" t="s">
        <v>43</v>
      </c>
      <c r="AH101" s="2" t="s">
        <v>43</v>
      </c>
    </row>
    <row r="102" spans="1:34" ht="60">
      <c r="A102" s="6" t="s">
        <v>185</v>
      </c>
      <c r="B102" s="7">
        <v>46097</v>
      </c>
      <c r="C102" s="9" t="str">
        <f>HYPERLINK("https://eping.wto.org/en/Search?viewData= G/TBT/N/CHN/2214"," G/TBT/N/CHN/2214")</f>
        <v xml:space="preserve"> G/TBT/N/CHN/2214</v>
      </c>
      <c r="D102" s="8" t="s">
        <v>629</v>
      </c>
      <c r="E102" s="8" t="s">
        <v>630</v>
      </c>
      <c r="F102" s="8" t="s">
        <v>631</v>
      </c>
      <c r="G102" s="8" t="s">
        <v>632</v>
      </c>
      <c r="H102" s="8" t="s">
        <v>412</v>
      </c>
      <c r="I102" s="8" t="s">
        <v>413</v>
      </c>
      <c r="J102" s="8" t="s">
        <v>43</v>
      </c>
      <c r="K102" s="8" t="s">
        <v>43</v>
      </c>
      <c r="L102" s="6"/>
      <c r="M102" s="7">
        <v>46157</v>
      </c>
      <c r="N102" s="7" t="s">
        <v>79</v>
      </c>
      <c r="O102" s="7" t="s">
        <v>414</v>
      </c>
      <c r="P102" s="6" t="s">
        <v>62</v>
      </c>
      <c r="Q102" s="8" t="s">
        <v>633</v>
      </c>
      <c r="R102" t="str">
        <f>HYPERLINK("https://docs.wto.org/imrd/directdoc.asp?DDFDocuments/t/G/TBTN26/CHN2214.docx", "https://docs.wto.org/imrd/directdoc.asp?DDFDocuments/t/G/TBTN26/CHN2214.docx")</f>
        <v>https://docs.wto.org/imrd/directdoc.asp?DDFDocuments/t/G/TBTN26/CHN2214.docx</v>
      </c>
      <c r="S102" t="str">
        <f>HYPERLINK("https://docs.wto.org/imrd/directdoc.asp?DDFDocuments/u/G/TBTN26/CHN2214.docx", "https://docs.wto.org/imrd/directdoc.asp?DDFDocuments/u/G/TBTN26/CHN2214.docx")</f>
        <v>https://docs.wto.org/imrd/directdoc.asp?DDFDocuments/u/G/TBTN26/CHN2214.docx</v>
      </c>
      <c r="T102" t="str">
        <f>HYPERLINK("https://docs.wto.org/imrd/directdoc.asp?DDFDocuments/v/G/TBTN26/CHN2214.docx", "https://docs.wto.org/imrd/directdoc.asp?DDFDocuments/v/G/TBTN26/CHN2214.docx")</f>
        <v>https://docs.wto.org/imrd/directdoc.asp?DDFDocuments/v/G/TBTN26/CHN2214.docx</v>
      </c>
      <c r="U102" t="s">
        <v>46</v>
      </c>
      <c r="V102" t="s">
        <v>46</v>
      </c>
      <c r="W102" t="s">
        <v>64</v>
      </c>
      <c r="X102" t="s">
        <v>46</v>
      </c>
      <c r="Y102" t="s">
        <v>46</v>
      </c>
      <c r="Z102" t="s">
        <v>46</v>
      </c>
      <c r="AA102" t="s">
        <v>46</v>
      </c>
      <c r="AB102" s="2" t="s">
        <v>43</v>
      </c>
      <c r="AC102" t="s">
        <v>43</v>
      </c>
      <c r="AD102" t="s">
        <v>43</v>
      </c>
      <c r="AE102" t="s">
        <v>43</v>
      </c>
      <c r="AF102" t="s">
        <v>43</v>
      </c>
      <c r="AG102" t="s">
        <v>43</v>
      </c>
      <c r="AH102" s="2" t="s">
        <v>43</v>
      </c>
    </row>
    <row r="103" spans="1:34" ht="45">
      <c r="A103" s="6" t="s">
        <v>185</v>
      </c>
      <c r="B103" s="7">
        <v>46097</v>
      </c>
      <c r="C103" s="9" t="str">
        <f>HYPERLINK("https://eping.wto.org/en/Search?viewData= G/TBT/N/CHN/2221"," G/TBT/N/CHN/2221")</f>
        <v xml:space="preserve"> G/TBT/N/CHN/2221</v>
      </c>
      <c r="D103" s="8" t="s">
        <v>634</v>
      </c>
      <c r="E103" s="8" t="s">
        <v>635</v>
      </c>
      <c r="F103" s="8" t="s">
        <v>636</v>
      </c>
      <c r="G103" s="8" t="s">
        <v>632</v>
      </c>
      <c r="H103" s="8" t="s">
        <v>412</v>
      </c>
      <c r="I103" s="8" t="s">
        <v>413</v>
      </c>
      <c r="J103" s="8" t="s">
        <v>43</v>
      </c>
      <c r="K103" s="8" t="s">
        <v>43</v>
      </c>
      <c r="L103" s="6"/>
      <c r="M103" s="7">
        <v>46157</v>
      </c>
      <c r="N103" s="7" t="s">
        <v>79</v>
      </c>
      <c r="O103" s="7" t="s">
        <v>414</v>
      </c>
      <c r="P103" s="6" t="s">
        <v>62</v>
      </c>
      <c r="Q103" s="8" t="s">
        <v>637</v>
      </c>
      <c r="R103" t="str">
        <f>HYPERLINK("https://docs.wto.org/imrd/directdoc.asp?DDFDocuments/t/G/TBTN26/CHN2221.docx", "https://docs.wto.org/imrd/directdoc.asp?DDFDocuments/t/G/TBTN26/CHN2221.docx")</f>
        <v>https://docs.wto.org/imrd/directdoc.asp?DDFDocuments/t/G/TBTN26/CHN2221.docx</v>
      </c>
      <c r="S103" t="str">
        <f>HYPERLINK("https://docs.wto.org/imrd/directdoc.asp?DDFDocuments/u/G/TBTN26/CHN2221.docx", "https://docs.wto.org/imrd/directdoc.asp?DDFDocuments/u/G/TBTN26/CHN2221.docx")</f>
        <v>https://docs.wto.org/imrd/directdoc.asp?DDFDocuments/u/G/TBTN26/CHN2221.docx</v>
      </c>
      <c r="T103" t="str">
        <f>HYPERLINK("https://docs.wto.org/imrd/directdoc.asp?DDFDocuments/v/G/TBTN26/CHN2221.docx", "https://docs.wto.org/imrd/directdoc.asp?DDFDocuments/v/G/TBTN26/CHN2221.docx")</f>
        <v>https://docs.wto.org/imrd/directdoc.asp?DDFDocuments/v/G/TBTN26/CHN2221.docx</v>
      </c>
      <c r="U103" t="s">
        <v>46</v>
      </c>
      <c r="V103" t="s">
        <v>46</v>
      </c>
      <c r="W103" t="s">
        <v>64</v>
      </c>
      <c r="X103" t="s">
        <v>46</v>
      </c>
      <c r="Y103" t="s">
        <v>46</v>
      </c>
      <c r="Z103" t="s">
        <v>46</v>
      </c>
      <c r="AA103" t="s">
        <v>46</v>
      </c>
      <c r="AB103" s="2" t="s">
        <v>43</v>
      </c>
      <c r="AC103" t="s">
        <v>43</v>
      </c>
      <c r="AD103" t="s">
        <v>43</v>
      </c>
      <c r="AE103" t="s">
        <v>43</v>
      </c>
      <c r="AF103" t="s">
        <v>43</v>
      </c>
      <c r="AG103" t="s">
        <v>43</v>
      </c>
      <c r="AH103" s="2" t="s">
        <v>43</v>
      </c>
    </row>
    <row r="104" spans="1:34" ht="45">
      <c r="A104" s="6" t="s">
        <v>185</v>
      </c>
      <c r="B104" s="7">
        <v>46097</v>
      </c>
      <c r="C104" s="9" t="str">
        <f>HYPERLINK("https://eping.wto.org/en/Search?viewData= G/TBT/N/CHN/2230"," G/TBT/N/CHN/2230")</f>
        <v xml:space="preserve"> G/TBT/N/CHN/2230</v>
      </c>
      <c r="D104" s="8" t="s">
        <v>638</v>
      </c>
      <c r="E104" s="8" t="s">
        <v>639</v>
      </c>
      <c r="F104" s="8" t="s">
        <v>640</v>
      </c>
      <c r="G104" s="8" t="s">
        <v>641</v>
      </c>
      <c r="H104" s="8" t="s">
        <v>562</v>
      </c>
      <c r="I104" s="8" t="s">
        <v>413</v>
      </c>
      <c r="J104" s="8" t="s">
        <v>43</v>
      </c>
      <c r="K104" s="8" t="s">
        <v>43</v>
      </c>
      <c r="L104" s="6"/>
      <c r="M104" s="7">
        <v>46157</v>
      </c>
      <c r="N104" s="7" t="s">
        <v>79</v>
      </c>
      <c r="O104" s="7">
        <v>46569</v>
      </c>
      <c r="P104" s="6" t="s">
        <v>62</v>
      </c>
      <c r="Q104" s="8" t="s">
        <v>642</v>
      </c>
      <c r="R104" t="str">
        <f>HYPERLINK("https://docs.wto.org/imrd/directdoc.asp?DDFDocuments/t/G/TBTN26/CHN2230.docx", "https://docs.wto.org/imrd/directdoc.asp?DDFDocuments/t/G/TBTN26/CHN2230.docx")</f>
        <v>https://docs.wto.org/imrd/directdoc.asp?DDFDocuments/t/G/TBTN26/CHN2230.docx</v>
      </c>
      <c r="S104" t="str">
        <f>HYPERLINK("https://docs.wto.org/imrd/directdoc.asp?DDFDocuments/u/G/TBTN26/CHN2230.docx", "https://docs.wto.org/imrd/directdoc.asp?DDFDocuments/u/G/TBTN26/CHN2230.docx")</f>
        <v>https://docs.wto.org/imrd/directdoc.asp?DDFDocuments/u/G/TBTN26/CHN2230.docx</v>
      </c>
      <c r="T104" t="str">
        <f>HYPERLINK("https://docs.wto.org/imrd/directdoc.asp?DDFDocuments/v/G/TBTN26/CHN2230.docx", "https://docs.wto.org/imrd/directdoc.asp?DDFDocuments/v/G/TBTN26/CHN2230.docx")</f>
        <v>https://docs.wto.org/imrd/directdoc.asp?DDFDocuments/v/G/TBTN26/CHN2230.docx</v>
      </c>
      <c r="U104" t="s">
        <v>64</v>
      </c>
      <c r="V104" t="s">
        <v>46</v>
      </c>
      <c r="W104" t="s">
        <v>46</v>
      </c>
      <c r="X104" t="s">
        <v>46</v>
      </c>
      <c r="Y104" t="s">
        <v>46</v>
      </c>
      <c r="Z104" t="s">
        <v>46</v>
      </c>
      <c r="AA104" t="s">
        <v>46</v>
      </c>
      <c r="AB104" s="2" t="s">
        <v>43</v>
      </c>
      <c r="AC104" t="s">
        <v>43</v>
      </c>
      <c r="AD104" t="s">
        <v>43</v>
      </c>
      <c r="AE104" t="s">
        <v>43</v>
      </c>
      <c r="AF104" t="s">
        <v>43</v>
      </c>
      <c r="AG104" t="s">
        <v>43</v>
      </c>
      <c r="AH104" s="2" t="s">
        <v>43</v>
      </c>
    </row>
    <row r="105" spans="1:34" ht="45">
      <c r="A105" s="6" t="s">
        <v>390</v>
      </c>
      <c r="B105" s="7">
        <v>46097</v>
      </c>
      <c r="C105" s="9" t="str">
        <f>HYPERLINK("https://eping.wto.org/en/Search?viewData= G/SPS/N/TZA/522"," G/SPS/N/TZA/522")</f>
        <v xml:space="preserve"> G/SPS/N/TZA/522</v>
      </c>
      <c r="D105" s="8" t="s">
        <v>643</v>
      </c>
      <c r="E105" s="8" t="s">
        <v>644</v>
      </c>
      <c r="F105" s="8" t="s">
        <v>400</v>
      </c>
      <c r="G105" s="8" t="s">
        <v>401</v>
      </c>
      <c r="H105" s="8" t="s">
        <v>395</v>
      </c>
      <c r="I105" s="8" t="s">
        <v>58</v>
      </c>
      <c r="J105" s="8" t="s">
        <v>43</v>
      </c>
      <c r="K105" s="8" t="s">
        <v>157</v>
      </c>
      <c r="L105" s="6" t="s">
        <v>43</v>
      </c>
      <c r="M105" s="7">
        <v>46157</v>
      </c>
      <c r="N105" s="7" t="s">
        <v>396</v>
      </c>
      <c r="O105" s="7" t="s">
        <v>304</v>
      </c>
      <c r="P105" s="6" t="s">
        <v>62</v>
      </c>
      <c r="Q105" s="8" t="s">
        <v>645</v>
      </c>
      <c r="R105" t="str">
        <f>HYPERLINK("https://docs.wto.org/imrd/directdoc.asp?DDFDocuments/t/G/SPS/NTZA522.docx", "https://docs.wto.org/imrd/directdoc.asp?DDFDocuments/t/G/SPS/NTZA522.docx")</f>
        <v>https://docs.wto.org/imrd/directdoc.asp?DDFDocuments/t/G/SPS/NTZA522.docx</v>
      </c>
      <c r="S105" t="str">
        <f>HYPERLINK("https://docs.wto.org/imrd/directdoc.asp?DDFDocuments/u/G/SPS/NTZA522.docx", "https://docs.wto.org/imrd/directdoc.asp?DDFDocuments/u/G/SPS/NTZA522.docx")</f>
        <v>https://docs.wto.org/imrd/directdoc.asp?DDFDocuments/u/G/SPS/NTZA522.docx</v>
      </c>
      <c r="T105" t="str">
        <f>HYPERLINK("https://docs.wto.org/imrd/directdoc.asp?DDFDocuments/v/G/SPS/NTZA522.docx", "https://docs.wto.org/imrd/directdoc.asp?DDFDocuments/v/G/SPS/NTZA522.docx")</f>
        <v>https://docs.wto.org/imrd/directdoc.asp?DDFDocuments/v/G/SPS/NTZA522.docx</v>
      </c>
      <c r="U105" t="s">
        <v>43</v>
      </c>
      <c r="V105" t="s">
        <v>43</v>
      </c>
      <c r="W105" t="s">
        <v>43</v>
      </c>
      <c r="X105" t="s">
        <v>43</v>
      </c>
      <c r="Y105" t="s">
        <v>43</v>
      </c>
      <c r="Z105" t="s">
        <v>43</v>
      </c>
      <c r="AA105" t="s">
        <v>43</v>
      </c>
      <c r="AB105" s="2" t="s">
        <v>43</v>
      </c>
      <c r="AC105" t="s">
        <v>46</v>
      </c>
      <c r="AD105" t="s">
        <v>46</v>
      </c>
      <c r="AE105" t="s">
        <v>46</v>
      </c>
      <c r="AF105" t="s">
        <v>64</v>
      </c>
      <c r="AG105" t="s">
        <v>99</v>
      </c>
      <c r="AH105" s="2" t="s">
        <v>43</v>
      </c>
    </row>
    <row r="106" spans="1:34" ht="60">
      <c r="A106" s="6" t="s">
        <v>390</v>
      </c>
      <c r="B106" s="7">
        <v>46097</v>
      </c>
      <c r="C106" s="9" t="str">
        <f>HYPERLINK("https://eping.wto.org/en/Search?viewData= G/SPS/N/TZA/518"," G/SPS/N/TZA/518")</f>
        <v xml:space="preserve"> G/SPS/N/TZA/518</v>
      </c>
      <c r="D106" s="8" t="s">
        <v>646</v>
      </c>
      <c r="E106" s="8" t="s">
        <v>647</v>
      </c>
      <c r="F106" s="8" t="s">
        <v>648</v>
      </c>
      <c r="G106" s="8" t="s">
        <v>649</v>
      </c>
      <c r="H106" s="8" t="s">
        <v>650</v>
      </c>
      <c r="I106" s="8" t="s">
        <v>58</v>
      </c>
      <c r="J106" s="8" t="s">
        <v>43</v>
      </c>
      <c r="K106" s="8" t="s">
        <v>157</v>
      </c>
      <c r="L106" s="6" t="s">
        <v>43</v>
      </c>
      <c r="M106" s="7">
        <v>46157</v>
      </c>
      <c r="N106" s="7" t="s">
        <v>396</v>
      </c>
      <c r="O106" s="7" t="s">
        <v>304</v>
      </c>
      <c r="P106" s="6" t="s">
        <v>62</v>
      </c>
      <c r="Q106" s="8" t="s">
        <v>651</v>
      </c>
      <c r="R106" t="str">
        <f>HYPERLINK("https://docs.wto.org/imrd/directdoc.asp?DDFDocuments/t/G/SPS/NTZA518.docx", "https://docs.wto.org/imrd/directdoc.asp?DDFDocuments/t/G/SPS/NTZA518.docx")</f>
        <v>https://docs.wto.org/imrd/directdoc.asp?DDFDocuments/t/G/SPS/NTZA518.docx</v>
      </c>
      <c r="S106" t="str">
        <f>HYPERLINK("https://docs.wto.org/imrd/directdoc.asp?DDFDocuments/u/G/SPS/NTZA518.docx", "https://docs.wto.org/imrd/directdoc.asp?DDFDocuments/u/G/SPS/NTZA518.docx")</f>
        <v>https://docs.wto.org/imrd/directdoc.asp?DDFDocuments/u/G/SPS/NTZA518.docx</v>
      </c>
      <c r="T106" t="str">
        <f>HYPERLINK("https://docs.wto.org/imrd/directdoc.asp?DDFDocuments/v/G/SPS/NTZA518.docx", "https://docs.wto.org/imrd/directdoc.asp?DDFDocuments/v/G/SPS/NTZA518.docx")</f>
        <v>https://docs.wto.org/imrd/directdoc.asp?DDFDocuments/v/G/SPS/NTZA518.docx</v>
      </c>
      <c r="U106" t="s">
        <v>43</v>
      </c>
      <c r="V106" t="s">
        <v>43</v>
      </c>
      <c r="W106" t="s">
        <v>43</v>
      </c>
      <c r="X106" t="s">
        <v>43</v>
      </c>
      <c r="Y106" t="s">
        <v>43</v>
      </c>
      <c r="Z106" t="s">
        <v>43</v>
      </c>
      <c r="AA106" t="s">
        <v>43</v>
      </c>
      <c r="AB106" s="2" t="s">
        <v>43</v>
      </c>
      <c r="AC106" t="s">
        <v>46</v>
      </c>
      <c r="AD106" t="s">
        <v>46</v>
      </c>
      <c r="AE106" t="s">
        <v>46</v>
      </c>
      <c r="AF106" t="s">
        <v>64</v>
      </c>
      <c r="AG106" t="s">
        <v>99</v>
      </c>
      <c r="AH106" s="2" t="s">
        <v>43</v>
      </c>
    </row>
    <row r="107" spans="1:34" ht="45">
      <c r="A107" s="6" t="s">
        <v>185</v>
      </c>
      <c r="B107" s="7">
        <v>46097</v>
      </c>
      <c r="C107" s="9" t="str">
        <f>HYPERLINK("https://eping.wto.org/en/Search?viewData= G/TBT/N/CHN/2206"," G/TBT/N/CHN/2206")</f>
        <v xml:space="preserve"> G/TBT/N/CHN/2206</v>
      </c>
      <c r="D107" s="8" t="s">
        <v>652</v>
      </c>
      <c r="E107" s="8" t="s">
        <v>653</v>
      </c>
      <c r="F107" s="8" t="s">
        <v>654</v>
      </c>
      <c r="G107" s="8" t="s">
        <v>548</v>
      </c>
      <c r="H107" s="8" t="s">
        <v>465</v>
      </c>
      <c r="I107" s="8" t="s">
        <v>413</v>
      </c>
      <c r="J107" s="8" t="s">
        <v>43</v>
      </c>
      <c r="K107" s="8" t="s">
        <v>43</v>
      </c>
      <c r="L107" s="6"/>
      <c r="M107" s="7">
        <v>46157</v>
      </c>
      <c r="N107" s="7" t="s">
        <v>79</v>
      </c>
      <c r="O107" s="7" t="s">
        <v>192</v>
      </c>
      <c r="P107" s="6" t="s">
        <v>62</v>
      </c>
      <c r="Q107" s="8" t="s">
        <v>655</v>
      </c>
      <c r="R107" t="str">
        <f>HYPERLINK("https://docs.wto.org/imrd/directdoc.asp?DDFDocuments/t/G/TBTN26/CHN2206.docx", "https://docs.wto.org/imrd/directdoc.asp?DDFDocuments/t/G/TBTN26/CHN2206.docx")</f>
        <v>https://docs.wto.org/imrd/directdoc.asp?DDFDocuments/t/G/TBTN26/CHN2206.docx</v>
      </c>
      <c r="S107" t="str">
        <f>HYPERLINK("https://docs.wto.org/imrd/directdoc.asp?DDFDocuments/u/G/TBTN26/CHN2206.docx", "https://docs.wto.org/imrd/directdoc.asp?DDFDocuments/u/G/TBTN26/CHN2206.docx")</f>
        <v>https://docs.wto.org/imrd/directdoc.asp?DDFDocuments/u/G/TBTN26/CHN2206.docx</v>
      </c>
      <c r="T107" t="str">
        <f>HYPERLINK("https://docs.wto.org/imrd/directdoc.asp?DDFDocuments/v/G/TBTN26/CHN2206.docx", "https://docs.wto.org/imrd/directdoc.asp?DDFDocuments/v/G/TBTN26/CHN2206.docx")</f>
        <v>https://docs.wto.org/imrd/directdoc.asp?DDFDocuments/v/G/TBTN26/CHN2206.docx</v>
      </c>
      <c r="U107" t="s">
        <v>64</v>
      </c>
      <c r="V107" t="s">
        <v>46</v>
      </c>
      <c r="W107" t="s">
        <v>46</v>
      </c>
      <c r="X107" t="s">
        <v>46</v>
      </c>
      <c r="Y107" t="s">
        <v>46</v>
      </c>
      <c r="Z107" t="s">
        <v>46</v>
      </c>
      <c r="AA107" t="s">
        <v>46</v>
      </c>
      <c r="AB107" s="2" t="s">
        <v>43</v>
      </c>
      <c r="AC107" t="s">
        <v>43</v>
      </c>
      <c r="AD107" t="s">
        <v>43</v>
      </c>
      <c r="AE107" t="s">
        <v>43</v>
      </c>
      <c r="AF107" t="s">
        <v>43</v>
      </c>
      <c r="AG107" t="s">
        <v>43</v>
      </c>
      <c r="AH107" s="2" t="s">
        <v>43</v>
      </c>
    </row>
    <row r="108" spans="1:34" ht="60">
      <c r="A108" s="6" t="s">
        <v>185</v>
      </c>
      <c r="B108" s="7">
        <v>46097</v>
      </c>
      <c r="C108" s="9" t="str">
        <f>HYPERLINK("https://eping.wto.org/en/Search?viewData= G/TBT/N/CHN/2228"," G/TBT/N/CHN/2228")</f>
        <v xml:space="preserve"> G/TBT/N/CHN/2228</v>
      </c>
      <c r="D108" s="8" t="s">
        <v>656</v>
      </c>
      <c r="E108" s="8" t="s">
        <v>657</v>
      </c>
      <c r="F108" s="8" t="s">
        <v>658</v>
      </c>
      <c r="G108" s="8" t="s">
        <v>659</v>
      </c>
      <c r="H108" s="8" t="s">
        <v>660</v>
      </c>
      <c r="I108" s="8" t="s">
        <v>275</v>
      </c>
      <c r="J108" s="8" t="s">
        <v>43</v>
      </c>
      <c r="K108" s="8" t="s">
        <v>43</v>
      </c>
      <c r="L108" s="6"/>
      <c r="M108" s="7">
        <v>46157</v>
      </c>
      <c r="N108" s="7" t="s">
        <v>79</v>
      </c>
      <c r="O108" s="7">
        <v>46569</v>
      </c>
      <c r="P108" s="6" t="s">
        <v>62</v>
      </c>
      <c r="Q108" s="8" t="s">
        <v>661</v>
      </c>
      <c r="R108" t="str">
        <f>HYPERLINK("https://docs.wto.org/imrd/directdoc.asp?DDFDocuments/t/G/TBTN26/CHN2228.docx", "https://docs.wto.org/imrd/directdoc.asp?DDFDocuments/t/G/TBTN26/CHN2228.docx")</f>
        <v>https://docs.wto.org/imrd/directdoc.asp?DDFDocuments/t/G/TBTN26/CHN2228.docx</v>
      </c>
      <c r="S108" t="str">
        <f>HYPERLINK("https://docs.wto.org/imrd/directdoc.asp?DDFDocuments/u/G/TBTN26/CHN2228.docx", "https://docs.wto.org/imrd/directdoc.asp?DDFDocuments/u/G/TBTN26/CHN2228.docx")</f>
        <v>https://docs.wto.org/imrd/directdoc.asp?DDFDocuments/u/G/TBTN26/CHN2228.docx</v>
      </c>
      <c r="T108" t="str">
        <f>HYPERLINK("https://docs.wto.org/imrd/directdoc.asp?DDFDocuments/v/G/TBTN26/CHN2228.docx", "https://docs.wto.org/imrd/directdoc.asp?DDFDocuments/v/G/TBTN26/CHN2228.docx")</f>
        <v>https://docs.wto.org/imrd/directdoc.asp?DDFDocuments/v/G/TBTN26/CHN2228.docx</v>
      </c>
      <c r="U108" t="s">
        <v>64</v>
      </c>
      <c r="V108" t="s">
        <v>46</v>
      </c>
      <c r="W108" t="s">
        <v>46</v>
      </c>
      <c r="X108" t="s">
        <v>46</v>
      </c>
      <c r="Y108" t="s">
        <v>46</v>
      </c>
      <c r="Z108" t="s">
        <v>46</v>
      </c>
      <c r="AA108" t="s">
        <v>46</v>
      </c>
      <c r="AB108" s="2" t="s">
        <v>43</v>
      </c>
      <c r="AC108" t="s">
        <v>43</v>
      </c>
      <c r="AD108" t="s">
        <v>43</v>
      </c>
      <c r="AE108" t="s">
        <v>43</v>
      </c>
      <c r="AF108" t="s">
        <v>43</v>
      </c>
      <c r="AG108" t="s">
        <v>43</v>
      </c>
      <c r="AH108" s="2" t="s">
        <v>43</v>
      </c>
    </row>
    <row r="109" spans="1:34" ht="315">
      <c r="A109" s="6" t="s">
        <v>215</v>
      </c>
      <c r="B109" s="7">
        <v>46097</v>
      </c>
      <c r="C109" s="9" t="str">
        <f>HYPERLINK("https://eping.wto.org/en/Search?viewData= G/SPS/N/MYS/20/Rev.2"," G/SPS/N/MYS/20/Rev.2")</f>
        <v xml:space="preserve"> G/SPS/N/MYS/20/Rev.2</v>
      </c>
      <c r="D109" s="8" t="s">
        <v>662</v>
      </c>
      <c r="E109" s="8" t="s">
        <v>663</v>
      </c>
      <c r="F109" s="8" t="s">
        <v>664</v>
      </c>
      <c r="G109" s="8" t="s">
        <v>43</v>
      </c>
      <c r="H109" s="8" t="s">
        <v>43</v>
      </c>
      <c r="I109" s="8" t="s">
        <v>529</v>
      </c>
      <c r="J109" s="8" t="s">
        <v>43</v>
      </c>
      <c r="K109" s="8" t="s">
        <v>530</v>
      </c>
      <c r="L109" s="6" t="s">
        <v>43</v>
      </c>
      <c r="M109" s="7">
        <v>46157</v>
      </c>
      <c r="N109" s="7">
        <v>46143</v>
      </c>
      <c r="O109" s="7">
        <v>46174</v>
      </c>
      <c r="P109" s="6" t="s">
        <v>138</v>
      </c>
      <c r="Q109" s="8" t="s">
        <v>665</v>
      </c>
      <c r="R109" t="str">
        <f>HYPERLINK("https://docs.wto.org/imrd/directdoc.asp?DDFDocuments/t/G/SPS/NMYS20R2.docx", "https://docs.wto.org/imrd/directdoc.asp?DDFDocuments/t/G/SPS/NMYS20R2.docx")</f>
        <v>https://docs.wto.org/imrd/directdoc.asp?DDFDocuments/t/G/SPS/NMYS20R2.docx</v>
      </c>
      <c r="S109" t="str">
        <f>HYPERLINK("https://docs.wto.org/imrd/directdoc.asp?DDFDocuments/u/G/SPS/NMYS20R2.docx", "https://docs.wto.org/imrd/directdoc.asp?DDFDocuments/u/G/SPS/NMYS20R2.docx")</f>
        <v>https://docs.wto.org/imrd/directdoc.asp?DDFDocuments/u/G/SPS/NMYS20R2.docx</v>
      </c>
      <c r="T109" t="str">
        <f>HYPERLINK("https://docs.wto.org/imrd/directdoc.asp?DDFDocuments/v/G/SPS/NMYS20R2.docx", "https://docs.wto.org/imrd/directdoc.asp?DDFDocuments/v/G/SPS/NMYS20R2.docx")</f>
        <v>https://docs.wto.org/imrd/directdoc.asp?DDFDocuments/v/G/SPS/NMYS20R2.docx</v>
      </c>
      <c r="U109" t="s">
        <v>43</v>
      </c>
      <c r="V109" t="s">
        <v>43</v>
      </c>
      <c r="W109" t="s">
        <v>43</v>
      </c>
      <c r="X109" t="s">
        <v>43</v>
      </c>
      <c r="Y109" t="s">
        <v>43</v>
      </c>
      <c r="Z109" t="s">
        <v>43</v>
      </c>
      <c r="AA109" t="s">
        <v>43</v>
      </c>
      <c r="AB109" s="2" t="s">
        <v>43</v>
      </c>
      <c r="AC109" t="s">
        <v>46</v>
      </c>
      <c r="AD109" t="s">
        <v>64</v>
      </c>
      <c r="AE109" t="s">
        <v>46</v>
      </c>
      <c r="AF109" t="s">
        <v>46</v>
      </c>
      <c r="AG109" t="s">
        <v>64</v>
      </c>
      <c r="AH109" s="2" t="s">
        <v>43</v>
      </c>
    </row>
    <row r="110" spans="1:34" ht="135">
      <c r="A110" s="6" t="s">
        <v>34</v>
      </c>
      <c r="B110" s="7">
        <v>46097</v>
      </c>
      <c r="C110" s="9" t="str">
        <f>HYPERLINK("https://eping.wto.org/en/Search?viewData= G/TBT/N/MMR/13"," G/TBT/N/MMR/13")</f>
        <v xml:space="preserve"> G/TBT/N/MMR/13</v>
      </c>
      <c r="D110" s="8" t="s">
        <v>666</v>
      </c>
      <c r="E110" s="8" t="s">
        <v>667</v>
      </c>
      <c r="F110" s="8" t="s">
        <v>37</v>
      </c>
      <c r="G110" s="8" t="s">
        <v>668</v>
      </c>
      <c r="H110" s="8" t="s">
        <v>669</v>
      </c>
      <c r="I110" s="8" t="s">
        <v>40</v>
      </c>
      <c r="J110" s="8" t="s">
        <v>41</v>
      </c>
      <c r="K110" s="8" t="s">
        <v>670</v>
      </c>
      <c r="L110" s="6"/>
      <c r="M110" s="7">
        <v>46203</v>
      </c>
      <c r="N110" s="7">
        <v>46042</v>
      </c>
      <c r="O110" s="7">
        <v>46588</v>
      </c>
      <c r="P110" s="6" t="s">
        <v>62</v>
      </c>
      <c r="Q110" s="8" t="s">
        <v>671</v>
      </c>
      <c r="R110" t="str">
        <f>HYPERLINK("https://docs.wto.org/imrd/directdoc.asp?DDFDocuments/t/G/TBTN26/MMR13.docx", "https://docs.wto.org/imrd/directdoc.asp?DDFDocuments/t/G/TBTN26/MMR13.docx")</f>
        <v>https://docs.wto.org/imrd/directdoc.asp?DDFDocuments/t/G/TBTN26/MMR13.docx</v>
      </c>
      <c r="S110" t="str">
        <f>HYPERLINK("https://docs.wto.org/imrd/directdoc.asp?DDFDocuments/u/G/TBTN26/MMR13.docx", "https://docs.wto.org/imrd/directdoc.asp?DDFDocuments/u/G/TBTN26/MMR13.docx")</f>
        <v>https://docs.wto.org/imrd/directdoc.asp?DDFDocuments/u/G/TBTN26/MMR13.docx</v>
      </c>
      <c r="T110" t="str">
        <f>HYPERLINK("https://docs.wto.org/imrd/directdoc.asp?DDFDocuments/v/G/TBTN26/MMR13.docx", "https://docs.wto.org/imrd/directdoc.asp?DDFDocuments/v/G/TBTN26/MMR13.docx")</f>
        <v>https://docs.wto.org/imrd/directdoc.asp?DDFDocuments/v/G/TBTN26/MMR13.docx</v>
      </c>
      <c r="U110" t="s">
        <v>64</v>
      </c>
      <c r="V110" t="s">
        <v>46</v>
      </c>
      <c r="W110" t="s">
        <v>46</v>
      </c>
      <c r="X110" t="s">
        <v>46</v>
      </c>
      <c r="Y110" t="s">
        <v>46</v>
      </c>
      <c r="Z110" t="s">
        <v>46</v>
      </c>
      <c r="AA110" t="s">
        <v>46</v>
      </c>
      <c r="AB110" s="2" t="s">
        <v>43</v>
      </c>
      <c r="AC110" t="s">
        <v>43</v>
      </c>
      <c r="AD110" t="s">
        <v>43</v>
      </c>
      <c r="AE110" t="s">
        <v>43</v>
      </c>
      <c r="AF110" t="s">
        <v>43</v>
      </c>
      <c r="AG110" t="s">
        <v>43</v>
      </c>
      <c r="AH110" s="2" t="s">
        <v>43</v>
      </c>
    </row>
    <row r="111" spans="1:34" ht="75">
      <c r="A111" s="6" t="s">
        <v>185</v>
      </c>
      <c r="B111" s="7">
        <v>46097</v>
      </c>
      <c r="C111" s="9" t="str">
        <f>HYPERLINK("https://eping.wto.org/en/Search?viewData= G/TBT/N/CHN/2222"," G/TBT/N/CHN/2222")</f>
        <v xml:space="preserve"> G/TBT/N/CHN/2222</v>
      </c>
      <c r="D111" s="8" t="s">
        <v>672</v>
      </c>
      <c r="E111" s="8" t="s">
        <v>673</v>
      </c>
      <c r="F111" s="8" t="s">
        <v>674</v>
      </c>
      <c r="G111" s="8" t="s">
        <v>411</v>
      </c>
      <c r="H111" s="8" t="s">
        <v>412</v>
      </c>
      <c r="I111" s="8" t="s">
        <v>413</v>
      </c>
      <c r="J111" s="8" t="s">
        <v>43</v>
      </c>
      <c r="K111" s="8" t="s">
        <v>43</v>
      </c>
      <c r="L111" s="6"/>
      <c r="M111" s="7">
        <v>46157</v>
      </c>
      <c r="N111" s="7" t="s">
        <v>79</v>
      </c>
      <c r="O111" s="7" t="s">
        <v>414</v>
      </c>
      <c r="P111" s="6" t="s">
        <v>62</v>
      </c>
      <c r="Q111" s="8" t="s">
        <v>675</v>
      </c>
      <c r="R111" t="str">
        <f>HYPERLINK("https://docs.wto.org/imrd/directdoc.asp?DDFDocuments/t/G/TBTN26/CHN2222.docx", "https://docs.wto.org/imrd/directdoc.asp?DDFDocuments/t/G/TBTN26/CHN2222.docx")</f>
        <v>https://docs.wto.org/imrd/directdoc.asp?DDFDocuments/t/G/TBTN26/CHN2222.docx</v>
      </c>
      <c r="S111" t="str">
        <f>HYPERLINK("https://docs.wto.org/imrd/directdoc.asp?DDFDocuments/u/G/TBTN26/CHN2222.docx", "https://docs.wto.org/imrd/directdoc.asp?DDFDocuments/u/G/TBTN26/CHN2222.docx")</f>
        <v>https://docs.wto.org/imrd/directdoc.asp?DDFDocuments/u/G/TBTN26/CHN2222.docx</v>
      </c>
      <c r="T111" t="str">
        <f>HYPERLINK("https://docs.wto.org/imrd/directdoc.asp?DDFDocuments/v/G/TBTN26/CHN2222.docx", "https://docs.wto.org/imrd/directdoc.asp?DDFDocuments/v/G/TBTN26/CHN2222.docx")</f>
        <v>https://docs.wto.org/imrd/directdoc.asp?DDFDocuments/v/G/TBTN26/CHN2222.docx</v>
      </c>
      <c r="U111" t="s">
        <v>46</v>
      </c>
      <c r="V111" t="s">
        <v>46</v>
      </c>
      <c r="W111" t="s">
        <v>64</v>
      </c>
      <c r="X111" t="s">
        <v>46</v>
      </c>
      <c r="Y111" t="s">
        <v>46</v>
      </c>
      <c r="Z111" t="s">
        <v>46</v>
      </c>
      <c r="AA111" t="s">
        <v>46</v>
      </c>
      <c r="AB111" s="2" t="s">
        <v>43</v>
      </c>
      <c r="AC111" t="s">
        <v>43</v>
      </c>
      <c r="AD111" t="s">
        <v>43</v>
      </c>
      <c r="AE111" t="s">
        <v>43</v>
      </c>
      <c r="AF111" t="s">
        <v>43</v>
      </c>
      <c r="AG111" t="s">
        <v>43</v>
      </c>
      <c r="AH111" s="2" t="s">
        <v>43</v>
      </c>
    </row>
    <row r="112" spans="1:34" ht="60">
      <c r="A112" s="6" t="s">
        <v>185</v>
      </c>
      <c r="B112" s="7">
        <v>46097</v>
      </c>
      <c r="C112" s="9" t="str">
        <f>HYPERLINK("https://eping.wto.org/en/Search?viewData= G/TBT/N/CHN/2229"," G/TBT/N/CHN/2229")</f>
        <v xml:space="preserve"> G/TBT/N/CHN/2229</v>
      </c>
      <c r="D112" s="8" t="s">
        <v>676</v>
      </c>
      <c r="E112" s="8" t="s">
        <v>677</v>
      </c>
      <c r="F112" s="8" t="s">
        <v>678</v>
      </c>
      <c r="G112" s="8" t="s">
        <v>679</v>
      </c>
      <c r="H112" s="8" t="s">
        <v>680</v>
      </c>
      <c r="I112" s="8" t="s">
        <v>413</v>
      </c>
      <c r="J112" s="8" t="s">
        <v>43</v>
      </c>
      <c r="K112" s="8" t="s">
        <v>43</v>
      </c>
      <c r="L112" s="6"/>
      <c r="M112" s="7">
        <v>46157</v>
      </c>
      <c r="N112" s="7" t="s">
        <v>79</v>
      </c>
      <c r="O112" s="7">
        <v>46388</v>
      </c>
      <c r="P112" s="6" t="s">
        <v>62</v>
      </c>
      <c r="Q112" s="8" t="s">
        <v>681</v>
      </c>
      <c r="R112" t="str">
        <f>HYPERLINK("https://docs.wto.org/imrd/directdoc.asp?DDFDocuments/t/G/TBTN26/CHN2229.docx", "https://docs.wto.org/imrd/directdoc.asp?DDFDocuments/t/G/TBTN26/CHN2229.docx")</f>
        <v>https://docs.wto.org/imrd/directdoc.asp?DDFDocuments/t/G/TBTN26/CHN2229.docx</v>
      </c>
      <c r="S112" t="str">
        <f>HYPERLINK("https://docs.wto.org/imrd/directdoc.asp?DDFDocuments/u/G/TBTN26/CHN2229.docx", "https://docs.wto.org/imrd/directdoc.asp?DDFDocuments/u/G/TBTN26/CHN2229.docx")</f>
        <v>https://docs.wto.org/imrd/directdoc.asp?DDFDocuments/u/G/TBTN26/CHN2229.docx</v>
      </c>
      <c r="T112" t="str">
        <f>HYPERLINK("https://docs.wto.org/imrd/directdoc.asp?DDFDocuments/v/G/TBTN26/CHN2229.docx", "https://docs.wto.org/imrd/directdoc.asp?DDFDocuments/v/G/TBTN26/CHN2229.docx")</f>
        <v>https://docs.wto.org/imrd/directdoc.asp?DDFDocuments/v/G/TBTN26/CHN2229.docx</v>
      </c>
      <c r="U112" t="s">
        <v>64</v>
      </c>
      <c r="V112" t="s">
        <v>46</v>
      </c>
      <c r="W112" t="s">
        <v>46</v>
      </c>
      <c r="X112" t="s">
        <v>46</v>
      </c>
      <c r="Y112" t="s">
        <v>46</v>
      </c>
      <c r="Z112" t="s">
        <v>46</v>
      </c>
      <c r="AA112" t="s">
        <v>46</v>
      </c>
      <c r="AB112" s="2" t="s">
        <v>43</v>
      </c>
      <c r="AC112" t="s">
        <v>43</v>
      </c>
      <c r="AD112" t="s">
        <v>43</v>
      </c>
      <c r="AE112" t="s">
        <v>43</v>
      </c>
      <c r="AF112" t="s">
        <v>43</v>
      </c>
      <c r="AG112" t="s">
        <v>43</v>
      </c>
      <c r="AH112" s="2" t="s">
        <v>43</v>
      </c>
    </row>
    <row r="113" spans="1:34" ht="135">
      <c r="A113" s="6" t="s">
        <v>390</v>
      </c>
      <c r="B113" s="7">
        <v>46094</v>
      </c>
      <c r="C113" s="9" t="str">
        <f>HYPERLINK("https://eping.wto.org/en/Search?viewData= G/TBT/N/BDI/726, G/TBT/N/KEN/1999, G/TBT/N/RWA/1368, G/TBT/N/TZA/1542, G/TBT/N/UGA/2325"," G/TBT/N/BDI/726, G/TBT/N/KEN/1999, G/TBT/N/RWA/1368, G/TBT/N/TZA/1542, G/TBT/N/UGA/2325")</f>
        <v xml:space="preserve"> G/TBT/N/BDI/726, G/TBT/N/KEN/1999, G/TBT/N/RWA/1368, G/TBT/N/TZA/1542, G/TBT/N/UGA/2325</v>
      </c>
      <c r="D113" s="8" t="s">
        <v>682</v>
      </c>
      <c r="E113" s="8" t="s">
        <v>683</v>
      </c>
      <c r="F113" s="8" t="s">
        <v>451</v>
      </c>
      <c r="G113" s="8" t="s">
        <v>452</v>
      </c>
      <c r="H113" s="8" t="s">
        <v>453</v>
      </c>
      <c r="I113" s="8" t="s">
        <v>684</v>
      </c>
      <c r="J113" s="8" t="s">
        <v>43</v>
      </c>
      <c r="K113" s="8" t="s">
        <v>43</v>
      </c>
      <c r="L113" s="6"/>
      <c r="M113" s="7">
        <v>46154</v>
      </c>
      <c r="N113" s="7" t="s">
        <v>79</v>
      </c>
      <c r="O113" s="7" t="s">
        <v>79</v>
      </c>
      <c r="P113" s="6" t="s">
        <v>62</v>
      </c>
      <c r="Q113" s="8" t="s">
        <v>685</v>
      </c>
      <c r="R113" t="str">
        <f>HYPERLINK("https://docs.wto.org/imrd/directdoc.asp?DDFDocuments/t/G/TBTN26/BDI726.docx", "https://docs.wto.org/imrd/directdoc.asp?DDFDocuments/t/G/TBTN26/BDI726.docx")</f>
        <v>https://docs.wto.org/imrd/directdoc.asp?DDFDocuments/t/G/TBTN26/BDI726.docx</v>
      </c>
      <c r="S113" t="str">
        <f>HYPERLINK("https://docs.wto.org/imrd/directdoc.asp?DDFDocuments/u/G/TBTN26/BDI726.docx", "https://docs.wto.org/imrd/directdoc.asp?DDFDocuments/u/G/TBTN26/BDI726.docx")</f>
        <v>https://docs.wto.org/imrd/directdoc.asp?DDFDocuments/u/G/TBTN26/BDI726.docx</v>
      </c>
      <c r="T113" t="str">
        <f>HYPERLINK("https://docs.wto.org/imrd/directdoc.asp?DDFDocuments/v/G/TBTN26/BDI726.docx", "https://docs.wto.org/imrd/directdoc.asp?DDFDocuments/v/G/TBTN26/BDI726.docx")</f>
        <v>https://docs.wto.org/imrd/directdoc.asp?DDFDocuments/v/G/TBTN26/BDI726.docx</v>
      </c>
      <c r="U113" t="s">
        <v>46</v>
      </c>
      <c r="V113" t="s">
        <v>46</v>
      </c>
      <c r="W113" t="s">
        <v>64</v>
      </c>
      <c r="X113" t="s">
        <v>46</v>
      </c>
      <c r="Y113" t="s">
        <v>46</v>
      </c>
      <c r="Z113" t="s">
        <v>46</v>
      </c>
      <c r="AA113" t="s">
        <v>46</v>
      </c>
      <c r="AB113" s="2" t="s">
        <v>686</v>
      </c>
      <c r="AC113" t="s">
        <v>43</v>
      </c>
      <c r="AD113" t="s">
        <v>43</v>
      </c>
      <c r="AE113" t="s">
        <v>43</v>
      </c>
      <c r="AF113" t="s">
        <v>43</v>
      </c>
      <c r="AG113" t="s">
        <v>43</v>
      </c>
      <c r="AH113" s="2" t="s">
        <v>43</v>
      </c>
    </row>
    <row r="114" spans="1:34" ht="135">
      <c r="A114" s="6" t="s">
        <v>509</v>
      </c>
      <c r="B114" s="7">
        <v>46094</v>
      </c>
      <c r="C114" s="9" t="str">
        <f>HYPERLINK("https://eping.wto.org/en/Search?viewData= G/TBT/N/BDI/726, G/TBT/N/KEN/1999, G/TBT/N/RWA/1368, G/TBT/N/TZA/1542, G/TBT/N/UGA/2325"," G/TBT/N/BDI/726, G/TBT/N/KEN/1999, G/TBT/N/RWA/1368, G/TBT/N/TZA/1542, G/TBT/N/UGA/2325")</f>
        <v xml:space="preserve"> G/TBT/N/BDI/726, G/TBT/N/KEN/1999, G/TBT/N/RWA/1368, G/TBT/N/TZA/1542, G/TBT/N/UGA/2325</v>
      </c>
      <c r="D114" s="8" t="s">
        <v>682</v>
      </c>
      <c r="E114" s="8" t="s">
        <v>683</v>
      </c>
      <c r="F114" s="8" t="s">
        <v>451</v>
      </c>
      <c r="G114" s="8" t="s">
        <v>452</v>
      </c>
      <c r="H114" s="8" t="s">
        <v>453</v>
      </c>
      <c r="I114" s="8" t="s">
        <v>684</v>
      </c>
      <c r="J114" s="8" t="s">
        <v>43</v>
      </c>
      <c r="K114" s="8" t="s">
        <v>43</v>
      </c>
      <c r="L114" s="6"/>
      <c r="M114" s="7">
        <v>46154</v>
      </c>
      <c r="N114" s="7" t="s">
        <v>79</v>
      </c>
      <c r="O114" s="7" t="s">
        <v>79</v>
      </c>
      <c r="P114" s="6" t="s">
        <v>62</v>
      </c>
      <c r="Q114" s="8" t="s">
        <v>685</v>
      </c>
      <c r="R114" t="str">
        <f>HYPERLINK("https://docs.wto.org/imrd/directdoc.asp?DDFDocuments/t/G/TBTN26/BDI726.docx", "https://docs.wto.org/imrd/directdoc.asp?DDFDocuments/t/G/TBTN26/BDI726.docx")</f>
        <v>https://docs.wto.org/imrd/directdoc.asp?DDFDocuments/t/G/TBTN26/BDI726.docx</v>
      </c>
      <c r="S114" t="str">
        <f>HYPERLINK("https://docs.wto.org/imrd/directdoc.asp?DDFDocuments/u/G/TBTN26/BDI726.docx", "https://docs.wto.org/imrd/directdoc.asp?DDFDocuments/u/G/TBTN26/BDI726.docx")</f>
        <v>https://docs.wto.org/imrd/directdoc.asp?DDFDocuments/u/G/TBTN26/BDI726.docx</v>
      </c>
      <c r="T114" t="str">
        <f>HYPERLINK("https://docs.wto.org/imrd/directdoc.asp?DDFDocuments/v/G/TBTN26/BDI726.docx", "https://docs.wto.org/imrd/directdoc.asp?DDFDocuments/v/G/TBTN26/BDI726.docx")</f>
        <v>https://docs.wto.org/imrd/directdoc.asp?DDFDocuments/v/G/TBTN26/BDI726.docx</v>
      </c>
      <c r="U114" t="s">
        <v>46</v>
      </c>
      <c r="V114" t="s">
        <v>46</v>
      </c>
      <c r="W114" t="s">
        <v>64</v>
      </c>
      <c r="X114" t="s">
        <v>46</v>
      </c>
      <c r="Y114" t="s">
        <v>46</v>
      </c>
      <c r="Z114" t="s">
        <v>46</v>
      </c>
      <c r="AA114" t="s">
        <v>46</v>
      </c>
      <c r="AB114" s="2" t="s">
        <v>686</v>
      </c>
      <c r="AC114" t="s">
        <v>43</v>
      </c>
      <c r="AD114" t="s">
        <v>43</v>
      </c>
      <c r="AE114" t="s">
        <v>43</v>
      </c>
      <c r="AF114" t="s">
        <v>43</v>
      </c>
      <c r="AG114" t="s">
        <v>43</v>
      </c>
      <c r="AH114" s="2" t="s">
        <v>43</v>
      </c>
    </row>
    <row r="115" spans="1:34" ht="45">
      <c r="A115" s="6" t="s">
        <v>390</v>
      </c>
      <c r="B115" s="7">
        <v>46094</v>
      </c>
      <c r="C115" s="9" t="str">
        <f>HYPERLINK("https://eping.wto.org/en/Search?viewData= G/SPS/N/TZA/517"," G/SPS/N/TZA/517")</f>
        <v xml:space="preserve"> G/SPS/N/TZA/517</v>
      </c>
      <c r="D115" s="8" t="s">
        <v>687</v>
      </c>
      <c r="E115" s="8" t="s">
        <v>688</v>
      </c>
      <c r="F115" s="8" t="s">
        <v>689</v>
      </c>
      <c r="G115" s="8" t="s">
        <v>690</v>
      </c>
      <c r="H115" s="8" t="s">
        <v>650</v>
      </c>
      <c r="I115" s="8" t="s">
        <v>58</v>
      </c>
      <c r="J115" s="8" t="s">
        <v>43</v>
      </c>
      <c r="K115" s="8" t="s">
        <v>157</v>
      </c>
      <c r="L115" s="6" t="s">
        <v>43</v>
      </c>
      <c r="M115" s="7">
        <v>46154</v>
      </c>
      <c r="N115" s="7" t="s">
        <v>396</v>
      </c>
      <c r="O115" s="7" t="s">
        <v>304</v>
      </c>
      <c r="P115" s="6" t="s">
        <v>62</v>
      </c>
      <c r="Q115" s="8" t="s">
        <v>691</v>
      </c>
      <c r="R115" t="str">
        <f>HYPERLINK("https://docs.wto.org/imrd/directdoc.asp?DDFDocuments/t/G/SPS/NTZA517.docx", "https://docs.wto.org/imrd/directdoc.asp?DDFDocuments/t/G/SPS/NTZA517.docx")</f>
        <v>https://docs.wto.org/imrd/directdoc.asp?DDFDocuments/t/G/SPS/NTZA517.docx</v>
      </c>
      <c r="S115" t="str">
        <f>HYPERLINK("https://docs.wto.org/imrd/directdoc.asp?DDFDocuments/u/G/SPS/NTZA517.docx", "https://docs.wto.org/imrd/directdoc.asp?DDFDocuments/u/G/SPS/NTZA517.docx")</f>
        <v>https://docs.wto.org/imrd/directdoc.asp?DDFDocuments/u/G/SPS/NTZA517.docx</v>
      </c>
      <c r="T115" t="str">
        <f>HYPERLINK("https://docs.wto.org/imrd/directdoc.asp?DDFDocuments/v/G/SPS/NTZA517.docx", "https://docs.wto.org/imrd/directdoc.asp?DDFDocuments/v/G/SPS/NTZA517.docx")</f>
        <v>https://docs.wto.org/imrd/directdoc.asp?DDFDocuments/v/G/SPS/NTZA517.docx</v>
      </c>
      <c r="U115" t="s">
        <v>43</v>
      </c>
      <c r="V115" t="s">
        <v>43</v>
      </c>
      <c r="W115" t="s">
        <v>43</v>
      </c>
      <c r="X115" t="s">
        <v>43</v>
      </c>
      <c r="Y115" t="s">
        <v>43</v>
      </c>
      <c r="Z115" t="s">
        <v>43</v>
      </c>
      <c r="AA115" t="s">
        <v>43</v>
      </c>
      <c r="AB115" s="2" t="s">
        <v>43</v>
      </c>
      <c r="AC115" t="s">
        <v>46</v>
      </c>
      <c r="AD115" t="s">
        <v>46</v>
      </c>
      <c r="AE115" t="s">
        <v>46</v>
      </c>
      <c r="AF115" t="s">
        <v>64</v>
      </c>
      <c r="AG115" t="s">
        <v>99</v>
      </c>
      <c r="AH115" s="2" t="s">
        <v>43</v>
      </c>
    </row>
    <row r="116" spans="1:34" ht="300">
      <c r="A116" s="6" t="s">
        <v>390</v>
      </c>
      <c r="B116" s="7">
        <v>46094</v>
      </c>
      <c r="C116" s="9" t="str">
        <f>HYPERLINK("https://eping.wto.org/en/Search?viewData= G/TBT/N/TZA/1541"," G/TBT/N/TZA/1541")</f>
        <v xml:space="preserve"> G/TBT/N/TZA/1541</v>
      </c>
      <c r="D116" s="8" t="s">
        <v>692</v>
      </c>
      <c r="E116" s="8" t="s">
        <v>693</v>
      </c>
      <c r="F116" s="8" t="s">
        <v>694</v>
      </c>
      <c r="G116" s="8" t="s">
        <v>430</v>
      </c>
      <c r="H116" s="8" t="s">
        <v>431</v>
      </c>
      <c r="I116" s="8" t="s">
        <v>684</v>
      </c>
      <c r="J116" s="8" t="s">
        <v>43</v>
      </c>
      <c r="K116" s="8" t="s">
        <v>240</v>
      </c>
      <c r="L116" s="6"/>
      <c r="M116" s="7">
        <v>46154</v>
      </c>
      <c r="N116" s="7" t="s">
        <v>79</v>
      </c>
      <c r="O116" s="7" t="s">
        <v>79</v>
      </c>
      <c r="P116" s="6" t="s">
        <v>62</v>
      </c>
      <c r="Q116" s="8" t="s">
        <v>695</v>
      </c>
      <c r="R116" t="str">
        <f>HYPERLINK("https://docs.wto.org/imrd/directdoc.asp?DDFDocuments/t/G/TBTN26/TZA1541.docx", "https://docs.wto.org/imrd/directdoc.asp?DDFDocuments/t/G/TBTN26/TZA1541.docx")</f>
        <v>https://docs.wto.org/imrd/directdoc.asp?DDFDocuments/t/G/TBTN26/TZA1541.docx</v>
      </c>
      <c r="S116" t="str">
        <f>HYPERLINK("https://docs.wto.org/imrd/directdoc.asp?DDFDocuments/u/G/TBTN26/TZA1541.docx", "https://docs.wto.org/imrd/directdoc.asp?DDFDocuments/u/G/TBTN26/TZA1541.docx")</f>
        <v>https://docs.wto.org/imrd/directdoc.asp?DDFDocuments/u/G/TBTN26/TZA1541.docx</v>
      </c>
      <c r="T116" t="str">
        <f>HYPERLINK("https://docs.wto.org/imrd/directdoc.asp?DDFDocuments/v/G/TBTN26/TZA1541.docx", "https://docs.wto.org/imrd/directdoc.asp?DDFDocuments/v/G/TBTN26/TZA1541.docx")</f>
        <v>https://docs.wto.org/imrd/directdoc.asp?DDFDocuments/v/G/TBTN26/TZA1541.docx</v>
      </c>
      <c r="U116" t="s">
        <v>64</v>
      </c>
      <c r="V116" t="s">
        <v>46</v>
      </c>
      <c r="W116" t="s">
        <v>46</v>
      </c>
      <c r="X116" t="s">
        <v>46</v>
      </c>
      <c r="Y116" t="s">
        <v>46</v>
      </c>
      <c r="Z116" t="s">
        <v>46</v>
      </c>
      <c r="AA116" t="s">
        <v>46</v>
      </c>
      <c r="AB116" s="2" t="s">
        <v>696</v>
      </c>
      <c r="AC116" t="s">
        <v>43</v>
      </c>
      <c r="AD116" t="s">
        <v>43</v>
      </c>
      <c r="AE116" t="s">
        <v>43</v>
      </c>
      <c r="AF116" t="s">
        <v>43</v>
      </c>
      <c r="AG116" t="s">
        <v>43</v>
      </c>
      <c r="AH116" s="2" t="s">
        <v>43</v>
      </c>
    </row>
    <row r="117" spans="1:34" ht="409.5">
      <c r="A117" s="6" t="s">
        <v>390</v>
      </c>
      <c r="B117" s="7">
        <v>46094</v>
      </c>
      <c r="C117" s="9" t="str">
        <f>HYPERLINK("https://eping.wto.org/en/Search?viewData= G/TBT/N/TZA/1535"," G/TBT/N/TZA/1535")</f>
        <v xml:space="preserve"> G/TBT/N/TZA/1535</v>
      </c>
      <c r="D117" s="8" t="s">
        <v>697</v>
      </c>
      <c r="E117" s="8" t="s">
        <v>698</v>
      </c>
      <c r="F117" s="8" t="s">
        <v>699</v>
      </c>
      <c r="G117" s="8" t="s">
        <v>401</v>
      </c>
      <c r="H117" s="8" t="s">
        <v>395</v>
      </c>
      <c r="I117" s="8" t="s">
        <v>684</v>
      </c>
      <c r="J117" s="8" t="s">
        <v>43</v>
      </c>
      <c r="K117" s="8" t="s">
        <v>240</v>
      </c>
      <c r="L117" s="6"/>
      <c r="M117" s="7">
        <v>46154</v>
      </c>
      <c r="N117" s="7" t="s">
        <v>79</v>
      </c>
      <c r="O117" s="7" t="s">
        <v>79</v>
      </c>
      <c r="P117" s="6" t="s">
        <v>62</v>
      </c>
      <c r="Q117" s="8" t="s">
        <v>700</v>
      </c>
      <c r="R117" t="str">
        <f>HYPERLINK("https://docs.wto.org/imrd/directdoc.asp?DDFDocuments/t/G/TBTN26/TZA1535.docx", "https://docs.wto.org/imrd/directdoc.asp?DDFDocuments/t/G/TBTN26/TZA1535.docx")</f>
        <v>https://docs.wto.org/imrd/directdoc.asp?DDFDocuments/t/G/TBTN26/TZA1535.docx</v>
      </c>
      <c r="S117" t="str">
        <f>HYPERLINK("https://docs.wto.org/imrd/directdoc.asp?DDFDocuments/u/G/TBTN26/TZA1535.docx", "https://docs.wto.org/imrd/directdoc.asp?DDFDocuments/u/G/TBTN26/TZA1535.docx")</f>
        <v>https://docs.wto.org/imrd/directdoc.asp?DDFDocuments/u/G/TBTN26/TZA1535.docx</v>
      </c>
      <c r="T117" t="str">
        <f>HYPERLINK("https://docs.wto.org/imrd/directdoc.asp?DDFDocuments/v/G/TBTN26/TZA1535.docx", "https://docs.wto.org/imrd/directdoc.asp?DDFDocuments/v/G/TBTN26/TZA1535.docx")</f>
        <v>https://docs.wto.org/imrd/directdoc.asp?DDFDocuments/v/G/TBTN26/TZA1535.docx</v>
      </c>
      <c r="U117" t="s">
        <v>64</v>
      </c>
      <c r="V117" t="s">
        <v>46</v>
      </c>
      <c r="W117" t="s">
        <v>46</v>
      </c>
      <c r="X117" t="s">
        <v>46</v>
      </c>
      <c r="Y117" t="s">
        <v>46</v>
      </c>
      <c r="Z117" t="s">
        <v>46</v>
      </c>
      <c r="AA117" t="s">
        <v>46</v>
      </c>
      <c r="AB117" s="2" t="s">
        <v>701</v>
      </c>
      <c r="AC117" t="s">
        <v>43</v>
      </c>
      <c r="AD117" t="s">
        <v>43</v>
      </c>
      <c r="AE117" t="s">
        <v>43</v>
      </c>
      <c r="AF117" t="s">
        <v>43</v>
      </c>
      <c r="AG117" t="s">
        <v>43</v>
      </c>
      <c r="AH117" s="2" t="s">
        <v>43</v>
      </c>
    </row>
    <row r="118" spans="1:34" ht="270">
      <c r="A118" s="6" t="s">
        <v>390</v>
      </c>
      <c r="B118" s="7">
        <v>46094</v>
      </c>
      <c r="C118" s="9" t="str">
        <f>HYPERLINK("https://eping.wto.org/en/Search?viewData= G/TBT/N/TZA/1540"," G/TBT/N/TZA/1540")</f>
        <v xml:space="preserve"> G/TBT/N/TZA/1540</v>
      </c>
      <c r="D118" s="8" t="s">
        <v>702</v>
      </c>
      <c r="E118" s="8" t="s">
        <v>703</v>
      </c>
      <c r="F118" s="8" t="s">
        <v>457</v>
      </c>
      <c r="G118" s="8" t="s">
        <v>458</v>
      </c>
      <c r="H118" s="8" t="s">
        <v>459</v>
      </c>
      <c r="I118" s="8" t="s">
        <v>684</v>
      </c>
      <c r="J118" s="8" t="s">
        <v>43</v>
      </c>
      <c r="K118" s="8" t="s">
        <v>240</v>
      </c>
      <c r="L118" s="6"/>
      <c r="M118" s="7">
        <v>46154</v>
      </c>
      <c r="N118" s="7" t="s">
        <v>79</v>
      </c>
      <c r="O118" s="7" t="s">
        <v>79</v>
      </c>
      <c r="P118" s="6" t="s">
        <v>62</v>
      </c>
      <c r="Q118" s="8" t="s">
        <v>704</v>
      </c>
      <c r="R118" t="str">
        <f>HYPERLINK("https://docs.wto.org/imrd/directdoc.asp?DDFDocuments/t/G/TBTN26/TZA1540.docx", "https://docs.wto.org/imrd/directdoc.asp?DDFDocuments/t/G/TBTN26/TZA1540.docx")</f>
        <v>https://docs.wto.org/imrd/directdoc.asp?DDFDocuments/t/G/TBTN26/TZA1540.docx</v>
      </c>
      <c r="S118" t="str">
        <f>HYPERLINK("https://docs.wto.org/imrd/directdoc.asp?DDFDocuments/u/G/TBTN26/TZA1540.docx", "https://docs.wto.org/imrd/directdoc.asp?DDFDocuments/u/G/TBTN26/TZA1540.docx")</f>
        <v>https://docs.wto.org/imrd/directdoc.asp?DDFDocuments/u/G/TBTN26/TZA1540.docx</v>
      </c>
      <c r="T118" t="str">
        <f>HYPERLINK("https://docs.wto.org/imrd/directdoc.asp?DDFDocuments/v/G/TBTN26/TZA1540.docx", "https://docs.wto.org/imrd/directdoc.asp?DDFDocuments/v/G/TBTN26/TZA1540.docx")</f>
        <v>https://docs.wto.org/imrd/directdoc.asp?DDFDocuments/v/G/TBTN26/TZA1540.docx</v>
      </c>
      <c r="U118" t="s">
        <v>64</v>
      </c>
      <c r="V118" t="s">
        <v>46</v>
      </c>
      <c r="W118" t="s">
        <v>46</v>
      </c>
      <c r="X118" t="s">
        <v>46</v>
      </c>
      <c r="Y118" t="s">
        <v>46</v>
      </c>
      <c r="Z118" t="s">
        <v>46</v>
      </c>
      <c r="AA118" t="s">
        <v>46</v>
      </c>
      <c r="AB118" s="2" t="s">
        <v>705</v>
      </c>
      <c r="AC118" t="s">
        <v>43</v>
      </c>
      <c r="AD118" t="s">
        <v>43</v>
      </c>
      <c r="AE118" t="s">
        <v>43</v>
      </c>
      <c r="AF118" t="s">
        <v>43</v>
      </c>
      <c r="AG118" t="s">
        <v>43</v>
      </c>
      <c r="AH118" s="2" t="s">
        <v>43</v>
      </c>
    </row>
    <row r="119" spans="1:34" ht="270">
      <c r="A119" s="6" t="s">
        <v>132</v>
      </c>
      <c r="B119" s="7">
        <v>46094</v>
      </c>
      <c r="C119" s="9" t="str">
        <f>HYPERLINK("https://eping.wto.org/en/Search?viewData= G/TBT/N/USA/510/Add.3"," G/TBT/N/USA/510/Add.3")</f>
        <v xml:space="preserve"> G/TBT/N/USA/510/Add.3</v>
      </c>
      <c r="D119" s="8" t="s">
        <v>706</v>
      </c>
      <c r="E119" s="8" t="s">
        <v>707</v>
      </c>
      <c r="F119" s="8" t="s">
        <v>708</v>
      </c>
      <c r="G119" s="8" t="s">
        <v>43</v>
      </c>
      <c r="H119" s="8" t="s">
        <v>709</v>
      </c>
      <c r="I119" s="8" t="s">
        <v>413</v>
      </c>
      <c r="J119" s="8" t="s">
        <v>710</v>
      </c>
      <c r="K119" s="8" t="s">
        <v>711</v>
      </c>
      <c r="L119" s="6"/>
      <c r="M119" s="7" t="s">
        <v>43</v>
      </c>
      <c r="N119" s="7"/>
      <c r="O119" s="7"/>
      <c r="P119" s="6" t="s">
        <v>44</v>
      </c>
      <c r="Q119" s="8" t="s">
        <v>712</v>
      </c>
      <c r="R119" t="str">
        <f>HYPERLINK("https://docs.wto.org/imrd/directdoc.asp?DDFDocuments/t/G/TBTN10/USA510A3.docx", "https://docs.wto.org/imrd/directdoc.asp?DDFDocuments/t/G/TBTN10/USA510A3.docx")</f>
        <v>https://docs.wto.org/imrd/directdoc.asp?DDFDocuments/t/G/TBTN10/USA510A3.docx</v>
      </c>
      <c r="S119" t="str">
        <f>HYPERLINK("https://docs.wto.org/imrd/directdoc.asp?DDFDocuments/u/G/TBTN10/USA510A3.docx", "https://docs.wto.org/imrd/directdoc.asp?DDFDocuments/u/G/TBTN10/USA510A3.docx")</f>
        <v>https://docs.wto.org/imrd/directdoc.asp?DDFDocuments/u/G/TBTN10/USA510A3.docx</v>
      </c>
      <c r="T119" t="str">
        <f>HYPERLINK("https://docs.wto.org/imrd/directdoc.asp?DDFDocuments/v/G/TBTN10/USA510A3.docx", "https://docs.wto.org/imrd/directdoc.asp?DDFDocuments/v/G/TBTN10/USA510A3.docx")</f>
        <v>https://docs.wto.org/imrd/directdoc.asp?DDFDocuments/v/G/TBTN10/USA510A3.docx</v>
      </c>
      <c r="U119" t="s">
        <v>64</v>
      </c>
      <c r="V119" t="s">
        <v>46</v>
      </c>
      <c r="W119" t="s">
        <v>46</v>
      </c>
      <c r="X119" t="s">
        <v>46</v>
      </c>
      <c r="Y119" t="s">
        <v>46</v>
      </c>
      <c r="Z119" t="s">
        <v>46</v>
      </c>
      <c r="AA119" t="s">
        <v>46</v>
      </c>
      <c r="AB119" s="2" t="s">
        <v>43</v>
      </c>
      <c r="AC119" t="s">
        <v>43</v>
      </c>
      <c r="AD119" t="s">
        <v>43</v>
      </c>
      <c r="AE119" t="s">
        <v>43</v>
      </c>
      <c r="AF119" t="s">
        <v>43</v>
      </c>
      <c r="AG119" t="s">
        <v>43</v>
      </c>
      <c r="AH119" s="2" t="s">
        <v>43</v>
      </c>
    </row>
    <row r="120" spans="1:34" ht="255">
      <c r="A120" s="6" t="s">
        <v>124</v>
      </c>
      <c r="B120" s="7">
        <v>46094</v>
      </c>
      <c r="C120" s="9" t="str">
        <f>HYPERLINK("https://eping.wto.org/en/Search?viewData= G/TBT/N/BDI/727, G/TBT/N/KEN/2000, G/TBT/N/RWA/1369, G/TBT/N/TZA/1544, G/TBT/N/UGA/2326"," G/TBT/N/BDI/727, G/TBT/N/KEN/2000, G/TBT/N/RWA/1369, G/TBT/N/TZA/1544, G/TBT/N/UGA/2326")</f>
        <v xml:space="preserve"> G/TBT/N/BDI/727, G/TBT/N/KEN/2000, G/TBT/N/RWA/1369, G/TBT/N/TZA/1544, G/TBT/N/UGA/2326</v>
      </c>
      <c r="D120" s="8" t="s">
        <v>713</v>
      </c>
      <c r="E120" s="8" t="s">
        <v>714</v>
      </c>
      <c r="F120" s="8" t="s">
        <v>451</v>
      </c>
      <c r="G120" s="8" t="s">
        <v>452</v>
      </c>
      <c r="H120" s="8" t="s">
        <v>453</v>
      </c>
      <c r="I120" s="8" t="s">
        <v>684</v>
      </c>
      <c r="J120" s="8" t="s">
        <v>43</v>
      </c>
      <c r="K120" s="8" t="s">
        <v>240</v>
      </c>
      <c r="L120" s="6"/>
      <c r="M120" s="7">
        <v>46154</v>
      </c>
      <c r="N120" s="7" t="s">
        <v>79</v>
      </c>
      <c r="O120" s="7" t="s">
        <v>79</v>
      </c>
      <c r="P120" s="6" t="s">
        <v>62</v>
      </c>
      <c r="Q120" s="8" t="s">
        <v>715</v>
      </c>
      <c r="R120" t="str">
        <f>HYPERLINK("https://docs.wto.org/imrd/directdoc.asp?DDFDocuments/t/G/TBTN26/BDI727.docx", "https://docs.wto.org/imrd/directdoc.asp?DDFDocuments/t/G/TBTN26/BDI727.docx")</f>
        <v>https://docs.wto.org/imrd/directdoc.asp?DDFDocuments/t/G/TBTN26/BDI727.docx</v>
      </c>
      <c r="S120" t="str">
        <f>HYPERLINK("https://docs.wto.org/imrd/directdoc.asp?DDFDocuments/u/G/TBTN26/BDI727.docx", "https://docs.wto.org/imrd/directdoc.asp?DDFDocuments/u/G/TBTN26/BDI727.docx")</f>
        <v>https://docs.wto.org/imrd/directdoc.asp?DDFDocuments/u/G/TBTN26/BDI727.docx</v>
      </c>
      <c r="T120" t="str">
        <f>HYPERLINK("https://docs.wto.org/imrd/directdoc.asp?DDFDocuments/v/G/TBTN26/BDI727.docx", "https://docs.wto.org/imrd/directdoc.asp?DDFDocuments/v/G/TBTN26/BDI727.docx")</f>
        <v>https://docs.wto.org/imrd/directdoc.asp?DDFDocuments/v/G/TBTN26/BDI727.docx</v>
      </c>
      <c r="U120" t="s">
        <v>64</v>
      </c>
      <c r="V120" t="s">
        <v>46</v>
      </c>
      <c r="W120" t="s">
        <v>46</v>
      </c>
      <c r="X120" t="s">
        <v>46</v>
      </c>
      <c r="Y120" t="s">
        <v>46</v>
      </c>
      <c r="Z120" t="s">
        <v>46</v>
      </c>
      <c r="AA120" t="s">
        <v>46</v>
      </c>
      <c r="AB120" s="2" t="s">
        <v>716</v>
      </c>
      <c r="AC120" t="s">
        <v>43</v>
      </c>
      <c r="AD120" t="s">
        <v>43</v>
      </c>
      <c r="AE120" t="s">
        <v>43</v>
      </c>
      <c r="AF120" t="s">
        <v>43</v>
      </c>
      <c r="AG120" t="s">
        <v>43</v>
      </c>
      <c r="AH120" s="2" t="s">
        <v>43</v>
      </c>
    </row>
    <row r="121" spans="1:34" ht="255">
      <c r="A121" s="6" t="s">
        <v>509</v>
      </c>
      <c r="B121" s="7">
        <v>46094</v>
      </c>
      <c r="C121" s="9" t="str">
        <f>HYPERLINK("https://eping.wto.org/en/Search?viewData= G/TBT/N/BDI/727, G/TBT/N/KEN/2000, G/TBT/N/RWA/1369, G/TBT/N/TZA/1544, G/TBT/N/UGA/2326"," G/TBT/N/BDI/727, G/TBT/N/KEN/2000, G/TBT/N/RWA/1369, G/TBT/N/TZA/1544, G/TBT/N/UGA/2326")</f>
        <v xml:space="preserve"> G/TBT/N/BDI/727, G/TBT/N/KEN/2000, G/TBT/N/RWA/1369, G/TBT/N/TZA/1544, G/TBT/N/UGA/2326</v>
      </c>
      <c r="D121" s="8" t="s">
        <v>713</v>
      </c>
      <c r="E121" s="8" t="s">
        <v>714</v>
      </c>
      <c r="F121" s="8" t="s">
        <v>451</v>
      </c>
      <c r="G121" s="8" t="s">
        <v>452</v>
      </c>
      <c r="H121" s="8" t="s">
        <v>453</v>
      </c>
      <c r="I121" s="8" t="s">
        <v>684</v>
      </c>
      <c r="J121" s="8" t="s">
        <v>43</v>
      </c>
      <c r="K121" s="8" t="s">
        <v>240</v>
      </c>
      <c r="L121" s="6"/>
      <c r="M121" s="7">
        <v>46154</v>
      </c>
      <c r="N121" s="7" t="s">
        <v>79</v>
      </c>
      <c r="O121" s="7" t="s">
        <v>79</v>
      </c>
      <c r="P121" s="6" t="s">
        <v>62</v>
      </c>
      <c r="Q121" s="8" t="s">
        <v>715</v>
      </c>
      <c r="R121" t="str">
        <f>HYPERLINK("https://docs.wto.org/imrd/directdoc.asp?DDFDocuments/t/G/TBTN26/BDI727.docx", "https://docs.wto.org/imrd/directdoc.asp?DDFDocuments/t/G/TBTN26/BDI727.docx")</f>
        <v>https://docs.wto.org/imrd/directdoc.asp?DDFDocuments/t/G/TBTN26/BDI727.docx</v>
      </c>
      <c r="S121" t="str">
        <f>HYPERLINK("https://docs.wto.org/imrd/directdoc.asp?DDFDocuments/u/G/TBTN26/BDI727.docx", "https://docs.wto.org/imrd/directdoc.asp?DDFDocuments/u/G/TBTN26/BDI727.docx")</f>
        <v>https://docs.wto.org/imrd/directdoc.asp?DDFDocuments/u/G/TBTN26/BDI727.docx</v>
      </c>
      <c r="T121" t="str">
        <f>HYPERLINK("https://docs.wto.org/imrd/directdoc.asp?DDFDocuments/v/G/TBTN26/BDI727.docx", "https://docs.wto.org/imrd/directdoc.asp?DDFDocuments/v/G/TBTN26/BDI727.docx")</f>
        <v>https://docs.wto.org/imrd/directdoc.asp?DDFDocuments/v/G/TBTN26/BDI727.docx</v>
      </c>
      <c r="U121" t="s">
        <v>64</v>
      </c>
      <c r="V121" t="s">
        <v>46</v>
      </c>
      <c r="W121" t="s">
        <v>46</v>
      </c>
      <c r="X121" t="s">
        <v>46</v>
      </c>
      <c r="Y121" t="s">
        <v>46</v>
      </c>
      <c r="Z121" t="s">
        <v>46</v>
      </c>
      <c r="AA121" t="s">
        <v>46</v>
      </c>
      <c r="AB121" s="2" t="s">
        <v>716</v>
      </c>
      <c r="AC121" t="s">
        <v>43</v>
      </c>
      <c r="AD121" t="s">
        <v>43</v>
      </c>
      <c r="AE121" t="s">
        <v>43</v>
      </c>
      <c r="AF121" t="s">
        <v>43</v>
      </c>
      <c r="AG121" t="s">
        <v>43</v>
      </c>
      <c r="AH121" s="2" t="s">
        <v>43</v>
      </c>
    </row>
    <row r="122" spans="1:34" ht="105">
      <c r="A122" s="6" t="s">
        <v>47</v>
      </c>
      <c r="B122" s="7">
        <v>46094</v>
      </c>
      <c r="C122" s="9" t="str">
        <f>HYPERLINK("https://eping.wto.org/en/Search?viewData= G/TBT/N/CAN/774"," G/TBT/N/CAN/774")</f>
        <v xml:space="preserve"> G/TBT/N/CAN/774</v>
      </c>
      <c r="D122" s="8" t="s">
        <v>717</v>
      </c>
      <c r="E122" s="8" t="s">
        <v>718</v>
      </c>
      <c r="F122" s="8" t="s">
        <v>719</v>
      </c>
      <c r="G122" s="8" t="s">
        <v>720</v>
      </c>
      <c r="H122" s="8" t="s">
        <v>721</v>
      </c>
      <c r="I122" s="8" t="s">
        <v>52</v>
      </c>
      <c r="J122" s="8" t="s">
        <v>722</v>
      </c>
      <c r="K122" s="8" t="s">
        <v>350</v>
      </c>
      <c r="L122" s="6"/>
      <c r="M122" s="7" t="s">
        <v>43</v>
      </c>
      <c r="N122" s="7">
        <v>46092</v>
      </c>
      <c r="O122" s="7">
        <v>46134</v>
      </c>
      <c r="P122" s="6" t="s">
        <v>62</v>
      </c>
      <c r="Q122" s="8" t="s">
        <v>723</v>
      </c>
      <c r="R122" t="str">
        <f>HYPERLINK("https://docs.wto.org/imrd/directdoc.asp?DDFDocuments/t/G/TBTN26/CAN774.docx", "https://docs.wto.org/imrd/directdoc.asp?DDFDocuments/t/G/TBTN26/CAN774.docx")</f>
        <v>https://docs.wto.org/imrd/directdoc.asp?DDFDocuments/t/G/TBTN26/CAN774.docx</v>
      </c>
      <c r="S122" t="str">
        <f>HYPERLINK("https://docs.wto.org/imrd/directdoc.asp?DDFDocuments/u/G/TBTN26/CAN774.docx", "https://docs.wto.org/imrd/directdoc.asp?DDFDocuments/u/G/TBTN26/CAN774.docx")</f>
        <v>https://docs.wto.org/imrd/directdoc.asp?DDFDocuments/u/G/TBTN26/CAN774.docx</v>
      </c>
      <c r="T122" t="str">
        <f>HYPERLINK("https://docs.wto.org/imrd/directdoc.asp?DDFDocuments/v/G/TBTN26/CAN774.docx", "https://docs.wto.org/imrd/directdoc.asp?DDFDocuments/v/G/TBTN26/CAN774.docx")</f>
        <v>https://docs.wto.org/imrd/directdoc.asp?DDFDocuments/v/G/TBTN26/CAN774.docx</v>
      </c>
      <c r="U122" t="s">
        <v>46</v>
      </c>
      <c r="V122" t="s">
        <v>46</v>
      </c>
      <c r="W122" t="s">
        <v>64</v>
      </c>
      <c r="X122" t="s">
        <v>46</v>
      </c>
      <c r="Y122" t="s">
        <v>46</v>
      </c>
      <c r="Z122" t="s">
        <v>46</v>
      </c>
      <c r="AA122" t="s">
        <v>46</v>
      </c>
      <c r="AB122" s="2" t="s">
        <v>724</v>
      </c>
      <c r="AC122" t="s">
        <v>43</v>
      </c>
      <c r="AD122" t="s">
        <v>43</v>
      </c>
      <c r="AE122" t="s">
        <v>43</v>
      </c>
      <c r="AF122" t="s">
        <v>43</v>
      </c>
      <c r="AG122" t="s">
        <v>43</v>
      </c>
      <c r="AH122" s="2" t="s">
        <v>43</v>
      </c>
    </row>
    <row r="123" spans="1:34" ht="210">
      <c r="A123" s="6" t="s">
        <v>356</v>
      </c>
      <c r="B123" s="7">
        <v>46094</v>
      </c>
      <c r="C123" s="9" t="str">
        <f>HYPERLINK("https://eping.wto.org/en/Search?viewData= G/TBT/N/EU/1197"," G/TBT/N/EU/1197")</f>
        <v xml:space="preserve"> G/TBT/N/EU/1197</v>
      </c>
      <c r="D123" s="8" t="s">
        <v>725</v>
      </c>
      <c r="E123" s="8" t="s">
        <v>726</v>
      </c>
      <c r="F123" s="8" t="s">
        <v>727</v>
      </c>
      <c r="G123" s="8" t="s">
        <v>43</v>
      </c>
      <c r="H123" s="8" t="s">
        <v>728</v>
      </c>
      <c r="I123" s="8" t="s">
        <v>137</v>
      </c>
      <c r="J123" s="8" t="s">
        <v>729</v>
      </c>
      <c r="K123" s="8" t="s">
        <v>43</v>
      </c>
      <c r="L123" s="6"/>
      <c r="M123" s="7">
        <v>46154</v>
      </c>
      <c r="N123" s="7" t="s">
        <v>730</v>
      </c>
      <c r="O123" s="7" t="s">
        <v>731</v>
      </c>
      <c r="P123" s="6" t="s">
        <v>62</v>
      </c>
      <c r="Q123" s="8" t="s">
        <v>732</v>
      </c>
      <c r="R123" t="str">
        <f>HYPERLINK("https://docs.wto.org/imrd/directdoc.asp?DDFDocuments/t/G/TBTN26/EU1197.docx", "https://docs.wto.org/imrd/directdoc.asp?DDFDocuments/t/G/TBTN26/EU1197.docx")</f>
        <v>https://docs.wto.org/imrd/directdoc.asp?DDFDocuments/t/G/TBTN26/EU1197.docx</v>
      </c>
      <c r="S123" t="str">
        <f>HYPERLINK("https://docs.wto.org/imrd/directdoc.asp?DDFDocuments/u/G/TBTN26/EU1197.docx", "https://docs.wto.org/imrd/directdoc.asp?DDFDocuments/u/G/TBTN26/EU1197.docx")</f>
        <v>https://docs.wto.org/imrd/directdoc.asp?DDFDocuments/u/G/TBTN26/EU1197.docx</v>
      </c>
      <c r="T123" t="str">
        <f>HYPERLINK("https://docs.wto.org/imrd/directdoc.asp?DDFDocuments/v/G/TBTN26/EU1197.docx", "https://docs.wto.org/imrd/directdoc.asp?DDFDocuments/v/G/TBTN26/EU1197.docx")</f>
        <v>https://docs.wto.org/imrd/directdoc.asp?DDFDocuments/v/G/TBTN26/EU1197.docx</v>
      </c>
      <c r="U123" t="s">
        <v>64</v>
      </c>
      <c r="V123" t="s">
        <v>46</v>
      </c>
      <c r="W123" t="s">
        <v>64</v>
      </c>
      <c r="X123" t="s">
        <v>46</v>
      </c>
      <c r="Y123" t="s">
        <v>46</v>
      </c>
      <c r="Z123" t="s">
        <v>46</v>
      </c>
      <c r="AA123" t="s">
        <v>46</v>
      </c>
      <c r="AB123" s="2" t="s">
        <v>733</v>
      </c>
      <c r="AC123" t="s">
        <v>43</v>
      </c>
      <c r="AD123" t="s">
        <v>43</v>
      </c>
      <c r="AE123" t="s">
        <v>43</v>
      </c>
      <c r="AF123" t="s">
        <v>43</v>
      </c>
      <c r="AG123" t="s">
        <v>43</v>
      </c>
      <c r="AH123" s="2" t="s">
        <v>43</v>
      </c>
    </row>
    <row r="124" spans="1:34" ht="135">
      <c r="A124" s="6" t="s">
        <v>108</v>
      </c>
      <c r="B124" s="7">
        <v>46094</v>
      </c>
      <c r="C124" s="9" t="str">
        <f>HYPERLINK("https://eping.wto.org/en/Search?viewData= G/TBT/N/BDI/726, G/TBT/N/KEN/1999, G/TBT/N/RWA/1368, G/TBT/N/TZA/1542, G/TBT/N/UGA/2325"," G/TBT/N/BDI/726, G/TBT/N/KEN/1999, G/TBT/N/RWA/1368, G/TBT/N/TZA/1542, G/TBT/N/UGA/2325")</f>
        <v xml:space="preserve"> G/TBT/N/BDI/726, G/TBT/N/KEN/1999, G/TBT/N/RWA/1368, G/TBT/N/TZA/1542, G/TBT/N/UGA/2325</v>
      </c>
      <c r="D124" s="8" t="s">
        <v>682</v>
      </c>
      <c r="E124" s="8" t="s">
        <v>683</v>
      </c>
      <c r="F124" s="8" t="s">
        <v>451</v>
      </c>
      <c r="G124" s="8" t="s">
        <v>452</v>
      </c>
      <c r="H124" s="8" t="s">
        <v>453</v>
      </c>
      <c r="I124" s="8" t="s">
        <v>684</v>
      </c>
      <c r="J124" s="8" t="s">
        <v>43</v>
      </c>
      <c r="K124" s="8" t="s">
        <v>43</v>
      </c>
      <c r="L124" s="6"/>
      <c r="M124" s="7">
        <v>46154</v>
      </c>
      <c r="N124" s="7" t="s">
        <v>79</v>
      </c>
      <c r="O124" s="7" t="s">
        <v>79</v>
      </c>
      <c r="P124" s="6" t="s">
        <v>62</v>
      </c>
      <c r="Q124" s="8" t="s">
        <v>685</v>
      </c>
      <c r="R124" t="str">
        <f>HYPERLINK("https://docs.wto.org/imrd/directdoc.asp?DDFDocuments/t/G/TBTN26/BDI726.docx", "https://docs.wto.org/imrd/directdoc.asp?DDFDocuments/t/G/TBTN26/BDI726.docx")</f>
        <v>https://docs.wto.org/imrd/directdoc.asp?DDFDocuments/t/G/TBTN26/BDI726.docx</v>
      </c>
      <c r="S124" t="str">
        <f>HYPERLINK("https://docs.wto.org/imrd/directdoc.asp?DDFDocuments/u/G/TBTN26/BDI726.docx", "https://docs.wto.org/imrd/directdoc.asp?DDFDocuments/u/G/TBTN26/BDI726.docx")</f>
        <v>https://docs.wto.org/imrd/directdoc.asp?DDFDocuments/u/G/TBTN26/BDI726.docx</v>
      </c>
      <c r="T124" t="str">
        <f>HYPERLINK("https://docs.wto.org/imrd/directdoc.asp?DDFDocuments/v/G/TBTN26/BDI726.docx", "https://docs.wto.org/imrd/directdoc.asp?DDFDocuments/v/G/TBTN26/BDI726.docx")</f>
        <v>https://docs.wto.org/imrd/directdoc.asp?DDFDocuments/v/G/TBTN26/BDI726.docx</v>
      </c>
      <c r="U124" t="s">
        <v>46</v>
      </c>
      <c r="V124" t="s">
        <v>46</v>
      </c>
      <c r="W124" t="s">
        <v>64</v>
      </c>
      <c r="X124" t="s">
        <v>46</v>
      </c>
      <c r="Y124" t="s">
        <v>46</v>
      </c>
      <c r="Z124" t="s">
        <v>46</v>
      </c>
      <c r="AA124" t="s">
        <v>46</v>
      </c>
      <c r="AB124" s="2" t="s">
        <v>686</v>
      </c>
      <c r="AC124" t="s">
        <v>43</v>
      </c>
      <c r="AD124" t="s">
        <v>43</v>
      </c>
      <c r="AE124" t="s">
        <v>43</v>
      </c>
      <c r="AF124" t="s">
        <v>43</v>
      </c>
      <c r="AG124" t="s">
        <v>43</v>
      </c>
      <c r="AH124" s="2" t="s">
        <v>43</v>
      </c>
    </row>
    <row r="125" spans="1:34" ht="75">
      <c r="A125" s="6" t="s">
        <v>390</v>
      </c>
      <c r="B125" s="7">
        <v>46094</v>
      </c>
      <c r="C125" s="9" t="str">
        <f>HYPERLINK("https://eping.wto.org/en/Search?viewData= G/TBT/N/TZA/1547"," G/TBT/N/TZA/1547")</f>
        <v xml:space="preserve"> G/TBT/N/TZA/1547</v>
      </c>
      <c r="D125" s="8" t="s">
        <v>734</v>
      </c>
      <c r="E125" s="8" t="s">
        <v>735</v>
      </c>
      <c r="F125" s="8" t="s">
        <v>736</v>
      </c>
      <c r="G125" s="8" t="s">
        <v>737</v>
      </c>
      <c r="H125" s="8" t="s">
        <v>738</v>
      </c>
      <c r="I125" s="8" t="s">
        <v>739</v>
      </c>
      <c r="J125" s="8" t="s">
        <v>43</v>
      </c>
      <c r="K125" s="8" t="s">
        <v>43</v>
      </c>
      <c r="L125" s="6"/>
      <c r="M125" s="7">
        <v>46154</v>
      </c>
      <c r="N125" s="7" t="s">
        <v>740</v>
      </c>
      <c r="O125" s="7" t="s">
        <v>79</v>
      </c>
      <c r="P125" s="6" t="s">
        <v>62</v>
      </c>
      <c r="Q125" s="8" t="s">
        <v>741</v>
      </c>
      <c r="R125" t="str">
        <f>HYPERLINK("https://docs.wto.org/imrd/directdoc.asp?DDFDocuments/t/G/TBTN26/TZA1547.docx", "https://docs.wto.org/imrd/directdoc.asp?DDFDocuments/t/G/TBTN26/TZA1547.docx")</f>
        <v>https://docs.wto.org/imrd/directdoc.asp?DDFDocuments/t/G/TBTN26/TZA1547.docx</v>
      </c>
      <c r="S125" t="str">
        <f>HYPERLINK("https://docs.wto.org/imrd/directdoc.asp?DDFDocuments/u/G/TBTN26/TZA1547.docx", "https://docs.wto.org/imrd/directdoc.asp?DDFDocuments/u/G/TBTN26/TZA1547.docx")</f>
        <v>https://docs.wto.org/imrd/directdoc.asp?DDFDocuments/u/G/TBTN26/TZA1547.docx</v>
      </c>
      <c r="T125" t="str">
        <f>HYPERLINK("https://docs.wto.org/imrd/directdoc.asp?DDFDocuments/v/G/TBTN26/TZA1547.docx", "https://docs.wto.org/imrd/directdoc.asp?DDFDocuments/v/G/TBTN26/TZA1547.docx")</f>
        <v>https://docs.wto.org/imrd/directdoc.asp?DDFDocuments/v/G/TBTN26/TZA1547.docx</v>
      </c>
      <c r="U125" t="s">
        <v>64</v>
      </c>
      <c r="V125" t="s">
        <v>46</v>
      </c>
      <c r="W125" t="s">
        <v>46</v>
      </c>
      <c r="X125" t="s">
        <v>46</v>
      </c>
      <c r="Y125" t="s">
        <v>46</v>
      </c>
      <c r="Z125" t="s">
        <v>46</v>
      </c>
      <c r="AA125" t="s">
        <v>46</v>
      </c>
      <c r="AB125" s="2" t="s">
        <v>742</v>
      </c>
      <c r="AC125" t="s">
        <v>43</v>
      </c>
      <c r="AD125" t="s">
        <v>43</v>
      </c>
      <c r="AE125" t="s">
        <v>43</v>
      </c>
      <c r="AF125" t="s">
        <v>43</v>
      </c>
      <c r="AG125" t="s">
        <v>43</v>
      </c>
      <c r="AH125" s="2" t="s">
        <v>43</v>
      </c>
    </row>
    <row r="126" spans="1:34" ht="345">
      <c r="A126" s="6" t="s">
        <v>390</v>
      </c>
      <c r="B126" s="7">
        <v>46094</v>
      </c>
      <c r="C126" s="9" t="str">
        <f>HYPERLINK("https://eping.wto.org/en/Search?viewData= G/TBT/N/TZA/1543"," G/TBT/N/TZA/1543")</f>
        <v xml:space="preserve"> G/TBT/N/TZA/1543</v>
      </c>
      <c r="D126" s="8" t="s">
        <v>743</v>
      </c>
      <c r="E126" s="8" t="s">
        <v>744</v>
      </c>
      <c r="F126" s="8" t="s">
        <v>699</v>
      </c>
      <c r="G126" s="8" t="s">
        <v>401</v>
      </c>
      <c r="H126" s="8" t="s">
        <v>395</v>
      </c>
      <c r="I126" s="8" t="s">
        <v>684</v>
      </c>
      <c r="J126" s="8" t="s">
        <v>43</v>
      </c>
      <c r="K126" s="8" t="s">
        <v>240</v>
      </c>
      <c r="L126" s="6"/>
      <c r="M126" s="7">
        <v>46154</v>
      </c>
      <c r="N126" s="7" t="s">
        <v>79</v>
      </c>
      <c r="O126" s="7" t="s">
        <v>79</v>
      </c>
      <c r="P126" s="6" t="s">
        <v>62</v>
      </c>
      <c r="Q126" s="8" t="s">
        <v>745</v>
      </c>
      <c r="R126" t="str">
        <f>HYPERLINK("https://docs.wto.org/imrd/directdoc.asp?DDFDocuments/t/G/TBTN26/TZA1543.docx", "https://docs.wto.org/imrd/directdoc.asp?DDFDocuments/t/G/TBTN26/TZA1543.docx")</f>
        <v>https://docs.wto.org/imrd/directdoc.asp?DDFDocuments/t/G/TBTN26/TZA1543.docx</v>
      </c>
      <c r="S126" t="str">
        <f>HYPERLINK("https://docs.wto.org/imrd/directdoc.asp?DDFDocuments/u/G/TBTN26/TZA1543.docx", "https://docs.wto.org/imrd/directdoc.asp?DDFDocuments/u/G/TBTN26/TZA1543.docx")</f>
        <v>https://docs.wto.org/imrd/directdoc.asp?DDFDocuments/u/G/TBTN26/TZA1543.docx</v>
      </c>
      <c r="T126" t="str">
        <f>HYPERLINK("https://docs.wto.org/imrd/directdoc.asp?DDFDocuments/v/G/TBTN26/TZA1543.docx", "https://docs.wto.org/imrd/directdoc.asp?DDFDocuments/v/G/TBTN26/TZA1543.docx")</f>
        <v>https://docs.wto.org/imrd/directdoc.asp?DDFDocuments/v/G/TBTN26/TZA1543.docx</v>
      </c>
      <c r="U126" t="s">
        <v>64</v>
      </c>
      <c r="V126" t="s">
        <v>46</v>
      </c>
      <c r="W126" t="s">
        <v>46</v>
      </c>
      <c r="X126" t="s">
        <v>46</v>
      </c>
      <c r="Y126" t="s">
        <v>46</v>
      </c>
      <c r="Z126" t="s">
        <v>46</v>
      </c>
      <c r="AA126" t="s">
        <v>46</v>
      </c>
      <c r="AB126" s="2" t="s">
        <v>746</v>
      </c>
      <c r="AC126" t="s">
        <v>43</v>
      </c>
      <c r="AD126" t="s">
        <v>43</v>
      </c>
      <c r="AE126" t="s">
        <v>43</v>
      </c>
      <c r="AF126" t="s">
        <v>43</v>
      </c>
      <c r="AG126" t="s">
        <v>43</v>
      </c>
      <c r="AH126" s="2" t="s">
        <v>43</v>
      </c>
    </row>
    <row r="127" spans="1:34" ht="60">
      <c r="A127" s="6" t="s">
        <v>390</v>
      </c>
      <c r="B127" s="7">
        <v>46094</v>
      </c>
      <c r="C127" s="9" t="str">
        <f>HYPERLINK("https://eping.wto.org/en/Search?viewData= G/TBT/N/TZA/1534"," G/TBT/N/TZA/1534")</f>
        <v xml:space="preserve"> G/TBT/N/TZA/1534</v>
      </c>
      <c r="D127" s="8" t="s">
        <v>747</v>
      </c>
      <c r="E127" s="8" t="s">
        <v>748</v>
      </c>
      <c r="F127" s="8" t="s">
        <v>648</v>
      </c>
      <c r="G127" s="8" t="s">
        <v>649</v>
      </c>
      <c r="H127" s="8" t="s">
        <v>650</v>
      </c>
      <c r="I127" s="8" t="s">
        <v>684</v>
      </c>
      <c r="J127" s="8" t="s">
        <v>43</v>
      </c>
      <c r="K127" s="8" t="s">
        <v>749</v>
      </c>
      <c r="L127" s="6"/>
      <c r="M127" s="7">
        <v>46154</v>
      </c>
      <c r="N127" s="7" t="s">
        <v>79</v>
      </c>
      <c r="O127" s="7" t="s">
        <v>79</v>
      </c>
      <c r="P127" s="6" t="s">
        <v>62</v>
      </c>
      <c r="Q127" s="8" t="s">
        <v>750</v>
      </c>
      <c r="R127" t="str">
        <f>HYPERLINK("https://docs.wto.org/imrd/directdoc.asp?DDFDocuments/t/G/TBTN26/TZA1534.docx", "https://docs.wto.org/imrd/directdoc.asp?DDFDocuments/t/G/TBTN26/TZA1534.docx")</f>
        <v>https://docs.wto.org/imrd/directdoc.asp?DDFDocuments/t/G/TBTN26/TZA1534.docx</v>
      </c>
      <c r="S127" t="str">
        <f>HYPERLINK("https://docs.wto.org/imrd/directdoc.asp?DDFDocuments/u/G/TBTN26/TZA1534.docx", "https://docs.wto.org/imrd/directdoc.asp?DDFDocuments/u/G/TBTN26/TZA1534.docx")</f>
        <v>https://docs.wto.org/imrd/directdoc.asp?DDFDocuments/u/G/TBTN26/TZA1534.docx</v>
      </c>
      <c r="T127" t="str">
        <f>HYPERLINK("https://docs.wto.org/imrd/directdoc.asp?DDFDocuments/v/G/TBTN26/TZA1534.docx", "https://docs.wto.org/imrd/directdoc.asp?DDFDocuments/v/G/TBTN26/TZA1534.docx")</f>
        <v>https://docs.wto.org/imrd/directdoc.asp?DDFDocuments/v/G/TBTN26/TZA1534.docx</v>
      </c>
      <c r="U127" t="s">
        <v>64</v>
      </c>
      <c r="V127" t="s">
        <v>46</v>
      </c>
      <c r="W127" t="s">
        <v>46</v>
      </c>
      <c r="X127" t="s">
        <v>46</v>
      </c>
      <c r="Y127" t="s">
        <v>46</v>
      </c>
      <c r="Z127" t="s">
        <v>46</v>
      </c>
      <c r="AA127" t="s">
        <v>46</v>
      </c>
      <c r="AB127" s="2" t="s">
        <v>751</v>
      </c>
      <c r="AC127" t="s">
        <v>43</v>
      </c>
      <c r="AD127" t="s">
        <v>43</v>
      </c>
      <c r="AE127" t="s">
        <v>43</v>
      </c>
      <c r="AF127" t="s">
        <v>43</v>
      </c>
      <c r="AG127" t="s">
        <v>43</v>
      </c>
      <c r="AH127" s="2" t="s">
        <v>43</v>
      </c>
    </row>
    <row r="128" spans="1:34" ht="409.5">
      <c r="A128" s="6" t="s">
        <v>390</v>
      </c>
      <c r="B128" s="7">
        <v>46094</v>
      </c>
      <c r="C128" s="9" t="str">
        <f>HYPERLINK("https://eping.wto.org/en/Search?viewData= G/TBT/N/TZA/1548"," G/TBT/N/TZA/1548")</f>
        <v xml:space="preserve"> G/TBT/N/TZA/1548</v>
      </c>
      <c r="D128" s="8" t="s">
        <v>752</v>
      </c>
      <c r="E128" s="8" t="s">
        <v>753</v>
      </c>
      <c r="F128" s="8" t="s">
        <v>699</v>
      </c>
      <c r="G128" s="8" t="s">
        <v>425</v>
      </c>
      <c r="H128" s="8" t="s">
        <v>395</v>
      </c>
      <c r="I128" s="8" t="s">
        <v>684</v>
      </c>
      <c r="J128" s="8" t="s">
        <v>43</v>
      </c>
      <c r="K128" s="8" t="s">
        <v>240</v>
      </c>
      <c r="L128" s="6"/>
      <c r="M128" s="7">
        <v>46154</v>
      </c>
      <c r="N128" s="7" t="s">
        <v>79</v>
      </c>
      <c r="O128" s="7" t="s">
        <v>79</v>
      </c>
      <c r="P128" s="6" t="s">
        <v>62</v>
      </c>
      <c r="Q128" s="8" t="s">
        <v>754</v>
      </c>
      <c r="R128" t="str">
        <f>HYPERLINK("https://docs.wto.org/imrd/directdoc.asp?DDFDocuments/t/G/TBTN26/TZA1548.docx", "https://docs.wto.org/imrd/directdoc.asp?DDFDocuments/t/G/TBTN26/TZA1548.docx")</f>
        <v>https://docs.wto.org/imrd/directdoc.asp?DDFDocuments/t/G/TBTN26/TZA1548.docx</v>
      </c>
      <c r="S128" t="str">
        <f>HYPERLINK("https://docs.wto.org/imrd/directdoc.asp?DDFDocuments/u/G/TBTN26/TZA1548.docx", "https://docs.wto.org/imrd/directdoc.asp?DDFDocuments/u/G/TBTN26/TZA1548.docx")</f>
        <v>https://docs.wto.org/imrd/directdoc.asp?DDFDocuments/u/G/TBTN26/TZA1548.docx</v>
      </c>
      <c r="T128" t="str">
        <f>HYPERLINK("https://docs.wto.org/imrd/directdoc.asp?DDFDocuments/v/G/TBTN26/TZA1548.docx", "https://docs.wto.org/imrd/directdoc.asp?DDFDocuments/v/G/TBTN26/TZA1548.docx")</f>
        <v>https://docs.wto.org/imrd/directdoc.asp?DDFDocuments/v/G/TBTN26/TZA1548.docx</v>
      </c>
      <c r="U128" t="s">
        <v>64</v>
      </c>
      <c r="V128" t="s">
        <v>46</v>
      </c>
      <c r="W128" t="s">
        <v>46</v>
      </c>
      <c r="X128" t="s">
        <v>46</v>
      </c>
      <c r="Y128" t="s">
        <v>46</v>
      </c>
      <c r="Z128" t="s">
        <v>46</v>
      </c>
      <c r="AA128" t="s">
        <v>46</v>
      </c>
      <c r="AB128" s="2" t="s">
        <v>755</v>
      </c>
      <c r="AC128" t="s">
        <v>43</v>
      </c>
      <c r="AD128" t="s">
        <v>43</v>
      </c>
      <c r="AE128" t="s">
        <v>43</v>
      </c>
      <c r="AF128" t="s">
        <v>43</v>
      </c>
      <c r="AG128" t="s">
        <v>43</v>
      </c>
      <c r="AH128" s="2" t="s">
        <v>43</v>
      </c>
    </row>
    <row r="129" spans="1:34" ht="60">
      <c r="A129" s="6" t="s">
        <v>756</v>
      </c>
      <c r="B129" s="7">
        <v>46094</v>
      </c>
      <c r="C129" s="9" t="str">
        <f>HYPERLINK("https://eping.wto.org/en/Search?viewData= G/SPS/N/PER/1112"," G/SPS/N/PER/1112")</f>
        <v xml:space="preserve"> G/SPS/N/PER/1112</v>
      </c>
      <c r="D129" s="8" t="s">
        <v>757</v>
      </c>
      <c r="E129" s="8" t="s">
        <v>758</v>
      </c>
      <c r="F129" s="8" t="s">
        <v>759</v>
      </c>
      <c r="G129" s="8" t="s">
        <v>760</v>
      </c>
      <c r="H129" s="8" t="s">
        <v>43</v>
      </c>
      <c r="I129" s="8" t="s">
        <v>254</v>
      </c>
      <c r="J129" s="8" t="s">
        <v>43</v>
      </c>
      <c r="K129" s="8" t="s">
        <v>302</v>
      </c>
      <c r="L129" s="6" t="s">
        <v>146</v>
      </c>
      <c r="M129" s="7">
        <v>46154</v>
      </c>
      <c r="N129" s="7" t="s">
        <v>79</v>
      </c>
      <c r="O129" s="7" t="s">
        <v>761</v>
      </c>
      <c r="P129" s="6" t="s">
        <v>62</v>
      </c>
      <c r="Q129" s="8" t="s">
        <v>762</v>
      </c>
      <c r="R129" t="str">
        <f>HYPERLINK("https://docs.wto.org/imrd/directdoc.asp?DDFDocuments/t/G/SPS/NPER1112.docx", "https://docs.wto.org/imrd/directdoc.asp?DDFDocuments/t/G/SPS/NPER1112.docx")</f>
        <v>https://docs.wto.org/imrd/directdoc.asp?DDFDocuments/t/G/SPS/NPER1112.docx</v>
      </c>
      <c r="S129" t="str">
        <f>HYPERLINK("https://docs.wto.org/imrd/directdoc.asp?DDFDocuments/u/G/SPS/NPER1112.docx", "https://docs.wto.org/imrd/directdoc.asp?DDFDocuments/u/G/SPS/NPER1112.docx")</f>
        <v>https://docs.wto.org/imrd/directdoc.asp?DDFDocuments/u/G/SPS/NPER1112.docx</v>
      </c>
      <c r="T129" t="str">
        <f>HYPERLINK("https://docs.wto.org/imrd/directdoc.asp?DDFDocuments/v/G/SPS/NPER1112.docx", "https://docs.wto.org/imrd/directdoc.asp?DDFDocuments/v/G/SPS/NPER1112.docx")</f>
        <v>https://docs.wto.org/imrd/directdoc.asp?DDFDocuments/v/G/SPS/NPER1112.docx</v>
      </c>
      <c r="U129" t="s">
        <v>43</v>
      </c>
      <c r="V129" t="s">
        <v>43</v>
      </c>
      <c r="W129" t="s">
        <v>43</v>
      </c>
      <c r="X129" t="s">
        <v>43</v>
      </c>
      <c r="Y129" t="s">
        <v>43</v>
      </c>
      <c r="Z129" t="s">
        <v>43</v>
      </c>
      <c r="AA129" t="s">
        <v>43</v>
      </c>
      <c r="AB129" s="2" t="s">
        <v>43</v>
      </c>
      <c r="AC129" t="s">
        <v>46</v>
      </c>
      <c r="AD129" t="s">
        <v>46</v>
      </c>
      <c r="AE129" t="s">
        <v>64</v>
      </c>
      <c r="AF129" t="s">
        <v>46</v>
      </c>
      <c r="AG129" t="s">
        <v>64</v>
      </c>
      <c r="AH129" s="2" t="s">
        <v>43</v>
      </c>
    </row>
    <row r="130" spans="1:34" ht="75">
      <c r="A130" s="6" t="s">
        <v>249</v>
      </c>
      <c r="B130" s="7">
        <v>46094</v>
      </c>
      <c r="C130" s="9" t="str">
        <f>HYPERLINK("https://eping.wto.org/en/Search?viewData= G/SPS/N/COL/416"," G/SPS/N/COL/416")</f>
        <v xml:space="preserve"> G/SPS/N/COL/416</v>
      </c>
      <c r="D130" s="8" t="s">
        <v>763</v>
      </c>
      <c r="E130" s="8" t="s">
        <v>764</v>
      </c>
      <c r="F130" s="8" t="s">
        <v>765</v>
      </c>
      <c r="G130" s="8" t="s">
        <v>766</v>
      </c>
      <c r="H130" s="8" t="s">
        <v>43</v>
      </c>
      <c r="I130" s="8" t="s">
        <v>254</v>
      </c>
      <c r="J130" s="8" t="s">
        <v>43</v>
      </c>
      <c r="K130" s="8" t="s">
        <v>255</v>
      </c>
      <c r="L130" s="6" t="s">
        <v>146</v>
      </c>
      <c r="M130" s="7">
        <v>46154</v>
      </c>
      <c r="N130" s="7" t="s">
        <v>257</v>
      </c>
      <c r="O130" s="7" t="s">
        <v>257</v>
      </c>
      <c r="P130" s="6" t="s">
        <v>62</v>
      </c>
      <c r="Q130" s="8" t="s">
        <v>767</v>
      </c>
      <c r="R130" t="str">
        <f>HYPERLINK("https://docs.wto.org/imrd/directdoc.asp?DDFDocuments/t/G/SPS/NCOL416.docx", "https://docs.wto.org/imrd/directdoc.asp?DDFDocuments/t/G/SPS/NCOL416.docx")</f>
        <v>https://docs.wto.org/imrd/directdoc.asp?DDFDocuments/t/G/SPS/NCOL416.docx</v>
      </c>
      <c r="S130" t="str">
        <f>HYPERLINK("https://docs.wto.org/imrd/directdoc.asp?DDFDocuments/u/G/SPS/NCOL416.docx", "https://docs.wto.org/imrd/directdoc.asp?DDFDocuments/u/G/SPS/NCOL416.docx")</f>
        <v>https://docs.wto.org/imrd/directdoc.asp?DDFDocuments/u/G/SPS/NCOL416.docx</v>
      </c>
      <c r="T130" t="str">
        <f>HYPERLINK("https://docs.wto.org/imrd/directdoc.asp?DDFDocuments/v/G/SPS/NCOL416.docx", "https://docs.wto.org/imrd/directdoc.asp?DDFDocuments/v/G/SPS/NCOL416.docx")</f>
        <v>https://docs.wto.org/imrd/directdoc.asp?DDFDocuments/v/G/SPS/NCOL416.docx</v>
      </c>
      <c r="U130" t="s">
        <v>43</v>
      </c>
      <c r="V130" t="s">
        <v>43</v>
      </c>
      <c r="W130" t="s">
        <v>43</v>
      </c>
      <c r="X130" t="s">
        <v>43</v>
      </c>
      <c r="Y130" t="s">
        <v>43</v>
      </c>
      <c r="Z130" t="s">
        <v>43</v>
      </c>
      <c r="AA130" t="s">
        <v>43</v>
      </c>
      <c r="AB130" s="2" t="s">
        <v>43</v>
      </c>
      <c r="AC130" t="s">
        <v>46</v>
      </c>
      <c r="AD130" t="s">
        <v>46</v>
      </c>
      <c r="AE130" t="s">
        <v>46</v>
      </c>
      <c r="AF130" t="s">
        <v>64</v>
      </c>
      <c r="AG130" t="s">
        <v>99</v>
      </c>
      <c r="AH130" s="2" t="s">
        <v>43</v>
      </c>
    </row>
    <row r="131" spans="1:34" ht="255">
      <c r="A131" s="6" t="s">
        <v>577</v>
      </c>
      <c r="B131" s="7">
        <v>46094</v>
      </c>
      <c r="C131" s="9" t="str">
        <f>HYPERLINK("https://eping.wto.org/en/Search?viewData= G/TBT/N/BDI/727, G/TBT/N/KEN/2000, G/TBT/N/RWA/1369, G/TBT/N/TZA/1544, G/TBT/N/UGA/2326"," G/TBT/N/BDI/727, G/TBT/N/KEN/2000, G/TBT/N/RWA/1369, G/TBT/N/TZA/1544, G/TBT/N/UGA/2326")</f>
        <v xml:space="preserve"> G/TBT/N/BDI/727, G/TBT/N/KEN/2000, G/TBT/N/RWA/1369, G/TBT/N/TZA/1544, G/TBT/N/UGA/2326</v>
      </c>
      <c r="D131" s="8" t="s">
        <v>713</v>
      </c>
      <c r="E131" s="8" t="s">
        <v>714</v>
      </c>
      <c r="F131" s="8" t="s">
        <v>451</v>
      </c>
      <c r="G131" s="8" t="s">
        <v>452</v>
      </c>
      <c r="H131" s="8" t="s">
        <v>453</v>
      </c>
      <c r="I131" s="8" t="s">
        <v>684</v>
      </c>
      <c r="J131" s="8" t="s">
        <v>43</v>
      </c>
      <c r="K131" s="8" t="s">
        <v>240</v>
      </c>
      <c r="L131" s="6"/>
      <c r="M131" s="7">
        <v>46154</v>
      </c>
      <c r="N131" s="7" t="s">
        <v>79</v>
      </c>
      <c r="O131" s="7" t="s">
        <v>79</v>
      </c>
      <c r="P131" s="6" t="s">
        <v>62</v>
      </c>
      <c r="Q131" s="8" t="s">
        <v>715</v>
      </c>
      <c r="R131" t="str">
        <f>HYPERLINK("https://docs.wto.org/imrd/directdoc.asp?DDFDocuments/t/G/TBTN26/BDI727.docx", "https://docs.wto.org/imrd/directdoc.asp?DDFDocuments/t/G/TBTN26/BDI727.docx")</f>
        <v>https://docs.wto.org/imrd/directdoc.asp?DDFDocuments/t/G/TBTN26/BDI727.docx</v>
      </c>
      <c r="S131" t="str">
        <f>HYPERLINK("https://docs.wto.org/imrd/directdoc.asp?DDFDocuments/u/G/TBTN26/BDI727.docx", "https://docs.wto.org/imrd/directdoc.asp?DDFDocuments/u/G/TBTN26/BDI727.docx")</f>
        <v>https://docs.wto.org/imrd/directdoc.asp?DDFDocuments/u/G/TBTN26/BDI727.docx</v>
      </c>
      <c r="T131" t="str">
        <f>HYPERLINK("https://docs.wto.org/imrd/directdoc.asp?DDFDocuments/v/G/TBTN26/BDI727.docx", "https://docs.wto.org/imrd/directdoc.asp?DDFDocuments/v/G/TBTN26/BDI727.docx")</f>
        <v>https://docs.wto.org/imrd/directdoc.asp?DDFDocuments/v/G/TBTN26/BDI727.docx</v>
      </c>
      <c r="U131" t="s">
        <v>64</v>
      </c>
      <c r="V131" t="s">
        <v>46</v>
      </c>
      <c r="W131" t="s">
        <v>46</v>
      </c>
      <c r="X131" t="s">
        <v>46</v>
      </c>
      <c r="Y131" t="s">
        <v>46</v>
      </c>
      <c r="Z131" t="s">
        <v>46</v>
      </c>
      <c r="AA131" t="s">
        <v>46</v>
      </c>
      <c r="AB131" s="2" t="s">
        <v>716</v>
      </c>
      <c r="AC131" t="s">
        <v>43</v>
      </c>
      <c r="AD131" t="s">
        <v>43</v>
      </c>
      <c r="AE131" t="s">
        <v>43</v>
      </c>
      <c r="AF131" t="s">
        <v>43</v>
      </c>
      <c r="AG131" t="s">
        <v>43</v>
      </c>
      <c r="AH131" s="2" t="s">
        <v>43</v>
      </c>
    </row>
    <row r="132" spans="1:34" ht="165">
      <c r="A132" s="6" t="s">
        <v>390</v>
      </c>
      <c r="B132" s="7">
        <v>46094</v>
      </c>
      <c r="C132" s="9" t="str">
        <f>HYPERLINK("https://eping.wto.org/en/Search?viewData= G/TBT/N/TZA/1539"," G/TBT/N/TZA/1539")</f>
        <v xml:space="preserve"> G/TBT/N/TZA/1539</v>
      </c>
      <c r="D132" s="8" t="s">
        <v>768</v>
      </c>
      <c r="E132" s="8" t="s">
        <v>769</v>
      </c>
      <c r="F132" s="8" t="s">
        <v>770</v>
      </c>
      <c r="G132" s="8" t="s">
        <v>771</v>
      </c>
      <c r="H132" s="8" t="s">
        <v>772</v>
      </c>
      <c r="I132" s="8" t="s">
        <v>739</v>
      </c>
      <c r="J132" s="8" t="s">
        <v>43</v>
      </c>
      <c r="K132" s="8" t="s">
        <v>43</v>
      </c>
      <c r="L132" s="6"/>
      <c r="M132" s="7">
        <v>46154</v>
      </c>
      <c r="N132" s="7" t="s">
        <v>740</v>
      </c>
      <c r="O132" s="7" t="s">
        <v>79</v>
      </c>
      <c r="P132" s="6" t="s">
        <v>62</v>
      </c>
      <c r="Q132" s="8" t="s">
        <v>773</v>
      </c>
      <c r="R132" t="str">
        <f>HYPERLINK("https://docs.wto.org/imrd/directdoc.asp?DDFDocuments/t/G/TBTN26/TZA1539.docx", "https://docs.wto.org/imrd/directdoc.asp?DDFDocuments/t/G/TBTN26/TZA1539.docx")</f>
        <v>https://docs.wto.org/imrd/directdoc.asp?DDFDocuments/t/G/TBTN26/TZA1539.docx</v>
      </c>
      <c r="S132" t="str">
        <f>HYPERLINK("https://docs.wto.org/imrd/directdoc.asp?DDFDocuments/u/G/TBTN26/TZA1539.docx", "https://docs.wto.org/imrd/directdoc.asp?DDFDocuments/u/G/TBTN26/TZA1539.docx")</f>
        <v>https://docs.wto.org/imrd/directdoc.asp?DDFDocuments/u/G/TBTN26/TZA1539.docx</v>
      </c>
      <c r="T132" t="str">
        <f>HYPERLINK("https://docs.wto.org/imrd/directdoc.asp?DDFDocuments/v/G/TBTN26/TZA1539.docx", "https://docs.wto.org/imrd/directdoc.asp?DDFDocuments/v/G/TBTN26/TZA1539.docx")</f>
        <v>https://docs.wto.org/imrd/directdoc.asp?DDFDocuments/v/G/TBTN26/TZA1539.docx</v>
      </c>
      <c r="U132" t="s">
        <v>64</v>
      </c>
      <c r="V132" t="s">
        <v>46</v>
      </c>
      <c r="W132" t="s">
        <v>46</v>
      </c>
      <c r="X132" t="s">
        <v>46</v>
      </c>
      <c r="Y132" t="s">
        <v>46</v>
      </c>
      <c r="Z132" t="s">
        <v>46</v>
      </c>
      <c r="AA132" t="s">
        <v>46</v>
      </c>
      <c r="AB132" s="2" t="s">
        <v>774</v>
      </c>
      <c r="AC132" t="s">
        <v>43</v>
      </c>
      <c r="AD132" t="s">
        <v>43</v>
      </c>
      <c r="AE132" t="s">
        <v>43</v>
      </c>
      <c r="AF132" t="s">
        <v>43</v>
      </c>
      <c r="AG132" t="s">
        <v>43</v>
      </c>
      <c r="AH132" s="2" t="s">
        <v>43</v>
      </c>
    </row>
    <row r="133" spans="1:34" ht="150">
      <c r="A133" s="6" t="s">
        <v>390</v>
      </c>
      <c r="B133" s="7">
        <v>46094</v>
      </c>
      <c r="C133" s="9" t="str">
        <f>HYPERLINK("https://eping.wto.org/en/Search?viewData= G/TBT/N/TZA/1545"," G/TBT/N/TZA/1545")</f>
        <v xml:space="preserve"> G/TBT/N/TZA/1545</v>
      </c>
      <c r="D133" s="8" t="s">
        <v>775</v>
      </c>
      <c r="E133" s="8" t="s">
        <v>776</v>
      </c>
      <c r="F133" s="8" t="s">
        <v>777</v>
      </c>
      <c r="G133" s="8" t="s">
        <v>506</v>
      </c>
      <c r="H133" s="8" t="s">
        <v>507</v>
      </c>
      <c r="I133" s="8" t="s">
        <v>684</v>
      </c>
      <c r="J133" s="8" t="s">
        <v>43</v>
      </c>
      <c r="K133" s="8" t="s">
        <v>240</v>
      </c>
      <c r="L133" s="6"/>
      <c r="M133" s="7">
        <v>46154</v>
      </c>
      <c r="N133" s="7" t="s">
        <v>79</v>
      </c>
      <c r="O133" s="7" t="s">
        <v>79</v>
      </c>
      <c r="P133" s="6" t="s">
        <v>62</v>
      </c>
      <c r="Q133" s="8" t="s">
        <v>778</v>
      </c>
      <c r="R133" t="str">
        <f>HYPERLINK("https://docs.wto.org/imrd/directdoc.asp?DDFDocuments/t/G/TBTN26/TZA1545.docx", "https://docs.wto.org/imrd/directdoc.asp?DDFDocuments/t/G/TBTN26/TZA1545.docx")</f>
        <v>https://docs.wto.org/imrd/directdoc.asp?DDFDocuments/t/G/TBTN26/TZA1545.docx</v>
      </c>
      <c r="S133" t="str">
        <f>HYPERLINK("https://docs.wto.org/imrd/directdoc.asp?DDFDocuments/u/G/TBTN26/TZA1545.docx", "https://docs.wto.org/imrd/directdoc.asp?DDFDocuments/u/G/TBTN26/TZA1545.docx")</f>
        <v>https://docs.wto.org/imrd/directdoc.asp?DDFDocuments/u/G/TBTN26/TZA1545.docx</v>
      </c>
      <c r="T133" t="str">
        <f>HYPERLINK("https://docs.wto.org/imrd/directdoc.asp?DDFDocuments/v/G/TBTN26/TZA1545.docx", "https://docs.wto.org/imrd/directdoc.asp?DDFDocuments/v/G/TBTN26/TZA1545.docx")</f>
        <v>https://docs.wto.org/imrd/directdoc.asp?DDFDocuments/v/G/TBTN26/TZA1545.docx</v>
      </c>
      <c r="U133" t="s">
        <v>64</v>
      </c>
      <c r="V133" t="s">
        <v>46</v>
      </c>
      <c r="W133" t="s">
        <v>46</v>
      </c>
      <c r="X133" t="s">
        <v>46</v>
      </c>
      <c r="Y133" t="s">
        <v>46</v>
      </c>
      <c r="Z133" t="s">
        <v>46</v>
      </c>
      <c r="AA133" t="s">
        <v>46</v>
      </c>
      <c r="AB133" s="2" t="s">
        <v>779</v>
      </c>
      <c r="AC133" t="s">
        <v>43</v>
      </c>
      <c r="AD133" t="s">
        <v>43</v>
      </c>
      <c r="AE133" t="s">
        <v>43</v>
      </c>
      <c r="AF133" t="s">
        <v>43</v>
      </c>
      <c r="AG133" t="s">
        <v>43</v>
      </c>
      <c r="AH133" s="2" t="s">
        <v>43</v>
      </c>
    </row>
    <row r="134" spans="1:34" ht="315">
      <c r="A134" s="6" t="s">
        <v>390</v>
      </c>
      <c r="B134" s="7">
        <v>46094</v>
      </c>
      <c r="C134" s="9" t="str">
        <f>HYPERLINK("https://eping.wto.org/en/Search?viewData= G/TBT/N/TZA/1536"," G/TBT/N/TZA/1536")</f>
        <v xml:space="preserve"> G/TBT/N/TZA/1536</v>
      </c>
      <c r="D134" s="8" t="s">
        <v>780</v>
      </c>
      <c r="E134" s="8" t="s">
        <v>781</v>
      </c>
      <c r="F134" s="8" t="s">
        <v>782</v>
      </c>
      <c r="G134" s="8" t="s">
        <v>394</v>
      </c>
      <c r="H134" s="8" t="s">
        <v>395</v>
      </c>
      <c r="I134" s="8" t="s">
        <v>684</v>
      </c>
      <c r="J134" s="8" t="s">
        <v>43</v>
      </c>
      <c r="K134" s="8" t="s">
        <v>240</v>
      </c>
      <c r="L134" s="6"/>
      <c r="M134" s="7">
        <v>46154</v>
      </c>
      <c r="N134" s="7" t="s">
        <v>79</v>
      </c>
      <c r="O134" s="7" t="s">
        <v>79</v>
      </c>
      <c r="P134" s="6" t="s">
        <v>62</v>
      </c>
      <c r="Q134" s="8" t="s">
        <v>783</v>
      </c>
      <c r="R134" t="str">
        <f>HYPERLINK("https://docs.wto.org/imrd/directdoc.asp?DDFDocuments/t/G/TBTN26/TZA1536.docx", "https://docs.wto.org/imrd/directdoc.asp?DDFDocuments/t/G/TBTN26/TZA1536.docx")</f>
        <v>https://docs.wto.org/imrd/directdoc.asp?DDFDocuments/t/G/TBTN26/TZA1536.docx</v>
      </c>
      <c r="S134" t="str">
        <f>HYPERLINK("https://docs.wto.org/imrd/directdoc.asp?DDFDocuments/u/G/TBTN26/TZA1536.docx", "https://docs.wto.org/imrd/directdoc.asp?DDFDocuments/u/G/TBTN26/TZA1536.docx")</f>
        <v>https://docs.wto.org/imrd/directdoc.asp?DDFDocuments/u/G/TBTN26/TZA1536.docx</v>
      </c>
      <c r="T134" t="str">
        <f>HYPERLINK("https://docs.wto.org/imrd/directdoc.asp?DDFDocuments/v/G/TBTN26/TZA1536.docx", "https://docs.wto.org/imrd/directdoc.asp?DDFDocuments/v/G/TBTN26/TZA1536.docx")</f>
        <v>https://docs.wto.org/imrd/directdoc.asp?DDFDocuments/v/G/TBTN26/TZA1536.docx</v>
      </c>
      <c r="U134" t="s">
        <v>64</v>
      </c>
      <c r="V134" t="s">
        <v>46</v>
      </c>
      <c r="W134" t="s">
        <v>46</v>
      </c>
      <c r="X134" t="s">
        <v>46</v>
      </c>
      <c r="Y134" t="s">
        <v>46</v>
      </c>
      <c r="Z134" t="s">
        <v>46</v>
      </c>
      <c r="AA134" t="s">
        <v>46</v>
      </c>
      <c r="AB134" s="2" t="s">
        <v>784</v>
      </c>
      <c r="AC134" t="s">
        <v>43</v>
      </c>
      <c r="AD134" t="s">
        <v>43</v>
      </c>
      <c r="AE134" t="s">
        <v>43</v>
      </c>
      <c r="AF134" t="s">
        <v>43</v>
      </c>
      <c r="AG134" t="s">
        <v>43</v>
      </c>
      <c r="AH134" s="2" t="s">
        <v>43</v>
      </c>
    </row>
    <row r="135" spans="1:34" ht="165">
      <c r="A135" s="6" t="s">
        <v>54</v>
      </c>
      <c r="B135" s="7">
        <v>46094</v>
      </c>
      <c r="C135" s="9" t="str">
        <f>HYPERLINK("https://eping.wto.org/en/Search?viewData= G/SPS/N/AUS/376/Add.9"," G/SPS/N/AUS/376/Add.9")</f>
        <v xml:space="preserve"> G/SPS/N/AUS/376/Add.9</v>
      </c>
      <c r="D135" s="8" t="s">
        <v>785</v>
      </c>
      <c r="E135" s="8" t="s">
        <v>786</v>
      </c>
      <c r="F135" s="8" t="s">
        <v>787</v>
      </c>
      <c r="G135" s="8" t="s">
        <v>788</v>
      </c>
      <c r="H135" s="8" t="s">
        <v>43</v>
      </c>
      <c r="I135" s="8" t="s">
        <v>254</v>
      </c>
      <c r="J135" s="8"/>
      <c r="K135" s="8" t="s">
        <v>789</v>
      </c>
      <c r="L135" s="6"/>
      <c r="M135" s="7" t="s">
        <v>43</v>
      </c>
      <c r="N135" s="7"/>
      <c r="O135" s="7"/>
      <c r="P135" s="6" t="s">
        <v>72</v>
      </c>
      <c r="Q135" s="8" t="s">
        <v>790</v>
      </c>
      <c r="R135" t="str">
        <f>HYPERLINK("https://docs.wto.org/imrd/directdoc.asp?DDFDocuments/t/G/SPS/NAUS376A9.docx", "https://docs.wto.org/imrd/directdoc.asp?DDFDocuments/t/G/SPS/NAUS376A9.docx")</f>
        <v>https://docs.wto.org/imrd/directdoc.asp?DDFDocuments/t/G/SPS/NAUS376A9.docx</v>
      </c>
      <c r="S135" t="str">
        <f>HYPERLINK("https://docs.wto.org/imrd/directdoc.asp?DDFDocuments/u/G/SPS/NAUS376A9.docx", "https://docs.wto.org/imrd/directdoc.asp?DDFDocuments/u/G/SPS/NAUS376A9.docx")</f>
        <v>https://docs.wto.org/imrd/directdoc.asp?DDFDocuments/u/G/SPS/NAUS376A9.docx</v>
      </c>
      <c r="T135" t="str">
        <f>HYPERLINK("https://docs.wto.org/imrd/directdoc.asp?DDFDocuments/v/G/SPS/NAUS376A9.docx", "https://docs.wto.org/imrd/directdoc.asp?DDFDocuments/v/G/SPS/NAUS376A9.docx")</f>
        <v>https://docs.wto.org/imrd/directdoc.asp?DDFDocuments/v/G/SPS/NAUS376A9.docx</v>
      </c>
      <c r="U135" t="s">
        <v>43</v>
      </c>
      <c r="V135" t="s">
        <v>43</v>
      </c>
      <c r="W135" t="s">
        <v>43</v>
      </c>
      <c r="X135" t="s">
        <v>43</v>
      </c>
      <c r="Y135" t="s">
        <v>43</v>
      </c>
      <c r="Z135" t="s">
        <v>43</v>
      </c>
      <c r="AA135" t="s">
        <v>43</v>
      </c>
      <c r="AB135" s="2" t="s">
        <v>43</v>
      </c>
      <c r="AC135" t="s">
        <v>43</v>
      </c>
      <c r="AD135" t="s">
        <v>43</v>
      </c>
      <c r="AE135" t="s">
        <v>43</v>
      </c>
      <c r="AF135" t="s">
        <v>43</v>
      </c>
      <c r="AG135" t="s">
        <v>43</v>
      </c>
      <c r="AH135" s="2" t="s">
        <v>43</v>
      </c>
    </row>
    <row r="136" spans="1:34" ht="255">
      <c r="A136" s="6" t="s">
        <v>390</v>
      </c>
      <c r="B136" s="7">
        <v>46094</v>
      </c>
      <c r="C136" s="9" t="str">
        <f>HYPERLINK("https://eping.wto.org/en/Search?viewData= G/TBT/N/BDI/727, G/TBT/N/KEN/2000, G/TBT/N/RWA/1369, G/TBT/N/TZA/1544, G/TBT/N/UGA/2326"," G/TBT/N/BDI/727, G/TBT/N/KEN/2000, G/TBT/N/RWA/1369, G/TBT/N/TZA/1544, G/TBT/N/UGA/2326")</f>
        <v xml:space="preserve"> G/TBT/N/BDI/727, G/TBT/N/KEN/2000, G/TBT/N/RWA/1369, G/TBT/N/TZA/1544, G/TBT/N/UGA/2326</v>
      </c>
      <c r="D136" s="8" t="s">
        <v>713</v>
      </c>
      <c r="E136" s="8" t="s">
        <v>714</v>
      </c>
      <c r="F136" s="8" t="s">
        <v>451</v>
      </c>
      <c r="G136" s="8" t="s">
        <v>452</v>
      </c>
      <c r="H136" s="8" t="s">
        <v>453</v>
      </c>
      <c r="I136" s="8" t="s">
        <v>684</v>
      </c>
      <c r="J136" s="8" t="s">
        <v>43</v>
      </c>
      <c r="K136" s="8" t="s">
        <v>240</v>
      </c>
      <c r="L136" s="6"/>
      <c r="M136" s="7">
        <v>46154</v>
      </c>
      <c r="N136" s="7" t="s">
        <v>79</v>
      </c>
      <c r="O136" s="7" t="s">
        <v>79</v>
      </c>
      <c r="P136" s="6" t="s">
        <v>62</v>
      </c>
      <c r="Q136" s="8" t="s">
        <v>715</v>
      </c>
      <c r="R136" t="str">
        <f>HYPERLINK("https://docs.wto.org/imrd/directdoc.asp?DDFDocuments/t/G/TBTN26/BDI727.docx", "https://docs.wto.org/imrd/directdoc.asp?DDFDocuments/t/G/TBTN26/BDI727.docx")</f>
        <v>https://docs.wto.org/imrd/directdoc.asp?DDFDocuments/t/G/TBTN26/BDI727.docx</v>
      </c>
      <c r="S136" t="str">
        <f>HYPERLINK("https://docs.wto.org/imrd/directdoc.asp?DDFDocuments/u/G/TBTN26/BDI727.docx", "https://docs.wto.org/imrd/directdoc.asp?DDFDocuments/u/G/TBTN26/BDI727.docx")</f>
        <v>https://docs.wto.org/imrd/directdoc.asp?DDFDocuments/u/G/TBTN26/BDI727.docx</v>
      </c>
      <c r="T136" t="str">
        <f>HYPERLINK("https://docs.wto.org/imrd/directdoc.asp?DDFDocuments/v/G/TBTN26/BDI727.docx", "https://docs.wto.org/imrd/directdoc.asp?DDFDocuments/v/G/TBTN26/BDI727.docx")</f>
        <v>https://docs.wto.org/imrd/directdoc.asp?DDFDocuments/v/G/TBTN26/BDI727.docx</v>
      </c>
      <c r="U136" t="s">
        <v>64</v>
      </c>
      <c r="V136" t="s">
        <v>46</v>
      </c>
      <c r="W136" t="s">
        <v>46</v>
      </c>
      <c r="X136" t="s">
        <v>46</v>
      </c>
      <c r="Y136" t="s">
        <v>46</v>
      </c>
      <c r="Z136" t="s">
        <v>46</v>
      </c>
      <c r="AA136" t="s">
        <v>46</v>
      </c>
      <c r="AB136" s="2" t="s">
        <v>716</v>
      </c>
      <c r="AC136" t="s">
        <v>43</v>
      </c>
      <c r="AD136" t="s">
        <v>43</v>
      </c>
      <c r="AE136" t="s">
        <v>43</v>
      </c>
      <c r="AF136" t="s">
        <v>43</v>
      </c>
      <c r="AG136" t="s">
        <v>43</v>
      </c>
      <c r="AH136" s="2" t="s">
        <v>43</v>
      </c>
    </row>
    <row r="137" spans="1:34" ht="120">
      <c r="A137" s="6" t="s">
        <v>390</v>
      </c>
      <c r="B137" s="7">
        <v>46094</v>
      </c>
      <c r="C137" s="9" t="str">
        <f>HYPERLINK("https://eping.wto.org/en/Search?viewData= G/TBT/N/TZA/1537"," G/TBT/N/TZA/1537")</f>
        <v xml:space="preserve"> G/TBT/N/TZA/1537</v>
      </c>
      <c r="D137" s="8" t="s">
        <v>791</v>
      </c>
      <c r="E137" s="8" t="s">
        <v>792</v>
      </c>
      <c r="F137" s="8" t="s">
        <v>793</v>
      </c>
      <c r="G137" s="8" t="s">
        <v>478</v>
      </c>
      <c r="H137" s="8" t="s">
        <v>479</v>
      </c>
      <c r="I137" s="8" t="s">
        <v>684</v>
      </c>
      <c r="J137" s="8" t="s">
        <v>43</v>
      </c>
      <c r="K137" s="8" t="s">
        <v>350</v>
      </c>
      <c r="L137" s="6"/>
      <c r="M137" s="7">
        <v>46154</v>
      </c>
      <c r="N137" s="7" t="s">
        <v>79</v>
      </c>
      <c r="O137" s="7" t="s">
        <v>79</v>
      </c>
      <c r="P137" s="6" t="s">
        <v>62</v>
      </c>
      <c r="Q137" s="8" t="s">
        <v>794</v>
      </c>
      <c r="R137" t="str">
        <f>HYPERLINK("https://docs.wto.org/imrd/directdoc.asp?DDFDocuments/t/G/TBTN26/TZA1537.docx", "https://docs.wto.org/imrd/directdoc.asp?DDFDocuments/t/G/TBTN26/TZA1537.docx")</f>
        <v>https://docs.wto.org/imrd/directdoc.asp?DDFDocuments/t/G/TBTN26/TZA1537.docx</v>
      </c>
      <c r="S137" t="str">
        <f>HYPERLINK("https://docs.wto.org/imrd/directdoc.asp?DDFDocuments/u/G/TBTN26/TZA1537.docx", "https://docs.wto.org/imrd/directdoc.asp?DDFDocuments/u/G/TBTN26/TZA1537.docx")</f>
        <v>https://docs.wto.org/imrd/directdoc.asp?DDFDocuments/u/G/TBTN26/TZA1537.docx</v>
      </c>
      <c r="T137" t="str">
        <f>HYPERLINK("https://docs.wto.org/imrd/directdoc.asp?DDFDocuments/v/G/TBTN26/TZA1537.docx", "https://docs.wto.org/imrd/directdoc.asp?DDFDocuments/v/G/TBTN26/TZA1537.docx")</f>
        <v>https://docs.wto.org/imrd/directdoc.asp?DDFDocuments/v/G/TBTN26/TZA1537.docx</v>
      </c>
      <c r="U137" t="s">
        <v>64</v>
      </c>
      <c r="V137" t="s">
        <v>46</v>
      </c>
      <c r="W137" t="s">
        <v>46</v>
      </c>
      <c r="X137" t="s">
        <v>46</v>
      </c>
      <c r="Y137" t="s">
        <v>46</v>
      </c>
      <c r="Z137" t="s">
        <v>46</v>
      </c>
      <c r="AA137" t="s">
        <v>46</v>
      </c>
      <c r="AB137" s="2" t="s">
        <v>795</v>
      </c>
      <c r="AC137" t="s">
        <v>43</v>
      </c>
      <c r="AD137" t="s">
        <v>43</v>
      </c>
      <c r="AE137" t="s">
        <v>43</v>
      </c>
      <c r="AF137" t="s">
        <v>43</v>
      </c>
      <c r="AG137" t="s">
        <v>43</v>
      </c>
      <c r="AH137" s="2" t="s">
        <v>43</v>
      </c>
    </row>
    <row r="138" spans="1:34" ht="135">
      <c r="A138" s="6" t="s">
        <v>124</v>
      </c>
      <c r="B138" s="7">
        <v>46094</v>
      </c>
      <c r="C138" s="9" t="str">
        <f>HYPERLINK("https://eping.wto.org/en/Search?viewData= G/TBT/N/BDI/726, G/TBT/N/KEN/1999, G/TBT/N/RWA/1368, G/TBT/N/TZA/1542, G/TBT/N/UGA/2325"," G/TBT/N/BDI/726, G/TBT/N/KEN/1999, G/TBT/N/RWA/1368, G/TBT/N/TZA/1542, G/TBT/N/UGA/2325")</f>
        <v xml:space="preserve"> G/TBT/N/BDI/726, G/TBT/N/KEN/1999, G/TBT/N/RWA/1368, G/TBT/N/TZA/1542, G/TBT/N/UGA/2325</v>
      </c>
      <c r="D138" s="8" t="s">
        <v>682</v>
      </c>
      <c r="E138" s="8" t="s">
        <v>683</v>
      </c>
      <c r="F138" s="8" t="s">
        <v>451</v>
      </c>
      <c r="G138" s="8" t="s">
        <v>452</v>
      </c>
      <c r="H138" s="8" t="s">
        <v>453</v>
      </c>
      <c r="I138" s="8" t="s">
        <v>684</v>
      </c>
      <c r="J138" s="8" t="s">
        <v>43</v>
      </c>
      <c r="K138" s="8" t="s">
        <v>43</v>
      </c>
      <c r="L138" s="6"/>
      <c r="M138" s="7">
        <v>46154</v>
      </c>
      <c r="N138" s="7" t="s">
        <v>79</v>
      </c>
      <c r="O138" s="7" t="s">
        <v>79</v>
      </c>
      <c r="P138" s="6" t="s">
        <v>62</v>
      </c>
      <c r="Q138" s="8" t="s">
        <v>685</v>
      </c>
      <c r="R138" t="str">
        <f>HYPERLINK("https://docs.wto.org/imrd/directdoc.asp?DDFDocuments/t/G/TBTN26/BDI726.docx", "https://docs.wto.org/imrd/directdoc.asp?DDFDocuments/t/G/TBTN26/BDI726.docx")</f>
        <v>https://docs.wto.org/imrd/directdoc.asp?DDFDocuments/t/G/TBTN26/BDI726.docx</v>
      </c>
      <c r="S138" t="str">
        <f>HYPERLINK("https://docs.wto.org/imrd/directdoc.asp?DDFDocuments/u/G/TBTN26/BDI726.docx", "https://docs.wto.org/imrd/directdoc.asp?DDFDocuments/u/G/TBTN26/BDI726.docx")</f>
        <v>https://docs.wto.org/imrd/directdoc.asp?DDFDocuments/u/G/TBTN26/BDI726.docx</v>
      </c>
      <c r="T138" t="str">
        <f>HYPERLINK("https://docs.wto.org/imrd/directdoc.asp?DDFDocuments/v/G/TBTN26/BDI726.docx", "https://docs.wto.org/imrd/directdoc.asp?DDFDocuments/v/G/TBTN26/BDI726.docx")</f>
        <v>https://docs.wto.org/imrd/directdoc.asp?DDFDocuments/v/G/TBTN26/BDI726.docx</v>
      </c>
      <c r="U138" t="s">
        <v>46</v>
      </c>
      <c r="V138" t="s">
        <v>46</v>
      </c>
      <c r="W138" t="s">
        <v>64</v>
      </c>
      <c r="X138" t="s">
        <v>46</v>
      </c>
      <c r="Y138" t="s">
        <v>46</v>
      </c>
      <c r="Z138" t="s">
        <v>46</v>
      </c>
      <c r="AA138" t="s">
        <v>46</v>
      </c>
      <c r="AB138" s="2" t="s">
        <v>686</v>
      </c>
      <c r="AC138" t="s">
        <v>43</v>
      </c>
      <c r="AD138" t="s">
        <v>43</v>
      </c>
      <c r="AE138" t="s">
        <v>43</v>
      </c>
      <c r="AF138" t="s">
        <v>43</v>
      </c>
      <c r="AG138" t="s">
        <v>43</v>
      </c>
      <c r="AH138" s="2" t="s">
        <v>43</v>
      </c>
    </row>
    <row r="139" spans="1:34" ht="255">
      <c r="A139" s="6" t="s">
        <v>390</v>
      </c>
      <c r="B139" s="7">
        <v>46094</v>
      </c>
      <c r="C139" s="9" t="str">
        <f>HYPERLINK("https://eping.wto.org/en/Search?viewData= G/TBT/N/TZA/1538"," G/TBT/N/TZA/1538")</f>
        <v xml:space="preserve"> G/TBT/N/TZA/1538</v>
      </c>
      <c r="D139" s="8" t="s">
        <v>796</v>
      </c>
      <c r="E139" s="8" t="s">
        <v>797</v>
      </c>
      <c r="F139" s="8" t="s">
        <v>457</v>
      </c>
      <c r="G139" s="8" t="s">
        <v>458</v>
      </c>
      <c r="H139" s="8" t="s">
        <v>459</v>
      </c>
      <c r="I139" s="8" t="s">
        <v>684</v>
      </c>
      <c r="J139" s="8" t="s">
        <v>43</v>
      </c>
      <c r="K139" s="8" t="s">
        <v>240</v>
      </c>
      <c r="L139" s="6"/>
      <c r="M139" s="7">
        <v>46154</v>
      </c>
      <c r="N139" s="7" t="s">
        <v>79</v>
      </c>
      <c r="O139" s="7" t="s">
        <v>79</v>
      </c>
      <c r="P139" s="6" t="s">
        <v>62</v>
      </c>
      <c r="Q139" s="8" t="s">
        <v>798</v>
      </c>
      <c r="R139" t="str">
        <f>HYPERLINK("https://docs.wto.org/imrd/directdoc.asp?DDFDocuments/t/G/TBTN26/TZA1538.docx", "https://docs.wto.org/imrd/directdoc.asp?DDFDocuments/t/G/TBTN26/TZA1538.docx")</f>
        <v>https://docs.wto.org/imrd/directdoc.asp?DDFDocuments/t/G/TBTN26/TZA1538.docx</v>
      </c>
      <c r="S139" t="str">
        <f>HYPERLINK("https://docs.wto.org/imrd/directdoc.asp?DDFDocuments/u/G/TBTN26/TZA1538.docx", "https://docs.wto.org/imrd/directdoc.asp?DDFDocuments/u/G/TBTN26/TZA1538.docx")</f>
        <v>https://docs.wto.org/imrd/directdoc.asp?DDFDocuments/u/G/TBTN26/TZA1538.docx</v>
      </c>
      <c r="T139" t="str">
        <f>HYPERLINK("https://docs.wto.org/imrd/directdoc.asp?DDFDocuments/v/G/TBTN26/TZA1538.docx", "https://docs.wto.org/imrd/directdoc.asp?DDFDocuments/v/G/TBTN26/TZA1538.docx")</f>
        <v>https://docs.wto.org/imrd/directdoc.asp?DDFDocuments/v/G/TBTN26/TZA1538.docx</v>
      </c>
      <c r="U139" t="s">
        <v>64</v>
      </c>
      <c r="V139" t="s">
        <v>46</v>
      </c>
      <c r="W139" t="s">
        <v>46</v>
      </c>
      <c r="X139" t="s">
        <v>46</v>
      </c>
      <c r="Y139" t="s">
        <v>46</v>
      </c>
      <c r="Z139" t="s">
        <v>46</v>
      </c>
      <c r="AA139" t="s">
        <v>46</v>
      </c>
      <c r="AB139" s="2" t="s">
        <v>799</v>
      </c>
      <c r="AC139" t="s">
        <v>43</v>
      </c>
      <c r="AD139" t="s">
        <v>43</v>
      </c>
      <c r="AE139" t="s">
        <v>43</v>
      </c>
      <c r="AF139" t="s">
        <v>43</v>
      </c>
      <c r="AG139" t="s">
        <v>43</v>
      </c>
      <c r="AH139" s="2" t="s">
        <v>43</v>
      </c>
    </row>
    <row r="140" spans="1:34" ht="165">
      <c r="A140" s="6" t="s">
        <v>390</v>
      </c>
      <c r="B140" s="7">
        <v>46094</v>
      </c>
      <c r="C140" s="9" t="str">
        <f>HYPERLINK("https://eping.wto.org/en/Search?viewData= G/TBT/N/TZA/1546"," G/TBT/N/TZA/1546")</f>
        <v xml:space="preserve"> G/TBT/N/TZA/1546</v>
      </c>
      <c r="D140" s="8" t="s">
        <v>800</v>
      </c>
      <c r="E140" s="8" t="s">
        <v>801</v>
      </c>
      <c r="F140" s="8" t="s">
        <v>777</v>
      </c>
      <c r="G140" s="8" t="s">
        <v>506</v>
      </c>
      <c r="H140" s="8" t="s">
        <v>507</v>
      </c>
      <c r="I140" s="8" t="s">
        <v>684</v>
      </c>
      <c r="J140" s="8" t="s">
        <v>43</v>
      </c>
      <c r="K140" s="8" t="s">
        <v>240</v>
      </c>
      <c r="L140" s="6"/>
      <c r="M140" s="7">
        <v>46154</v>
      </c>
      <c r="N140" s="7" t="s">
        <v>79</v>
      </c>
      <c r="O140" s="7" t="s">
        <v>79</v>
      </c>
      <c r="P140" s="6" t="s">
        <v>62</v>
      </c>
      <c r="Q140" s="8" t="s">
        <v>802</v>
      </c>
      <c r="R140" t="str">
        <f>HYPERLINK("https://docs.wto.org/imrd/directdoc.asp?DDFDocuments/t/G/TBTN26/TZA1546.docx", "https://docs.wto.org/imrd/directdoc.asp?DDFDocuments/t/G/TBTN26/TZA1546.docx")</f>
        <v>https://docs.wto.org/imrd/directdoc.asp?DDFDocuments/t/G/TBTN26/TZA1546.docx</v>
      </c>
      <c r="S140" t="str">
        <f>HYPERLINK("https://docs.wto.org/imrd/directdoc.asp?DDFDocuments/u/G/TBTN26/TZA1546.docx", "https://docs.wto.org/imrd/directdoc.asp?DDFDocuments/u/G/TBTN26/TZA1546.docx")</f>
        <v>https://docs.wto.org/imrd/directdoc.asp?DDFDocuments/u/G/TBTN26/TZA1546.docx</v>
      </c>
      <c r="T140" t="str">
        <f>HYPERLINK("https://docs.wto.org/imrd/directdoc.asp?DDFDocuments/v/G/TBTN26/TZA1546.docx", "https://docs.wto.org/imrd/directdoc.asp?DDFDocuments/v/G/TBTN26/TZA1546.docx")</f>
        <v>https://docs.wto.org/imrd/directdoc.asp?DDFDocuments/v/G/TBTN26/TZA1546.docx</v>
      </c>
      <c r="U140" t="s">
        <v>64</v>
      </c>
      <c r="V140" t="s">
        <v>46</v>
      </c>
      <c r="W140" t="s">
        <v>46</v>
      </c>
      <c r="X140" t="s">
        <v>46</v>
      </c>
      <c r="Y140" t="s">
        <v>46</v>
      </c>
      <c r="Z140" t="s">
        <v>46</v>
      </c>
      <c r="AA140" t="s">
        <v>46</v>
      </c>
      <c r="AB140" s="2" t="s">
        <v>803</v>
      </c>
      <c r="AC140" t="s">
        <v>43</v>
      </c>
      <c r="AD140" t="s">
        <v>43</v>
      </c>
      <c r="AE140" t="s">
        <v>43</v>
      </c>
      <c r="AF140" t="s">
        <v>43</v>
      </c>
      <c r="AG140" t="s">
        <v>43</v>
      </c>
      <c r="AH140" s="2" t="s">
        <v>43</v>
      </c>
    </row>
    <row r="141" spans="1:34" ht="150">
      <c r="A141" s="6" t="s">
        <v>338</v>
      </c>
      <c r="B141" s="7">
        <v>46094</v>
      </c>
      <c r="C141" s="9" t="str">
        <f>HYPERLINK("https://eping.wto.org/en/Search?viewData= G/TBT/N/SAU/1387/Rev.2"," G/TBT/N/SAU/1387/Rev.2")</f>
        <v xml:space="preserve"> G/TBT/N/SAU/1387/Rev.2</v>
      </c>
      <c r="D141" s="8" t="s">
        <v>804</v>
      </c>
      <c r="E141" s="8" t="s">
        <v>805</v>
      </c>
      <c r="F141" s="8" t="s">
        <v>806</v>
      </c>
      <c r="G141" s="8" t="s">
        <v>43</v>
      </c>
      <c r="H141" s="8" t="s">
        <v>807</v>
      </c>
      <c r="I141" s="8" t="s">
        <v>52</v>
      </c>
      <c r="J141" s="8" t="s">
        <v>808</v>
      </c>
      <c r="K141" s="8" t="s">
        <v>43</v>
      </c>
      <c r="L141" s="6"/>
      <c r="M141" s="7">
        <v>46154</v>
      </c>
      <c r="N141" s="7" t="s">
        <v>79</v>
      </c>
      <c r="O141" s="7" t="s">
        <v>809</v>
      </c>
      <c r="P141" s="6" t="s">
        <v>138</v>
      </c>
      <c r="Q141" s="8" t="s">
        <v>810</v>
      </c>
      <c r="R141" t="str">
        <f>HYPERLINK("https://docs.wto.org/imrd/directdoc.asp?DDFDocuments/t/G/TBTN25/SAU1387R2.docx", "https://docs.wto.org/imrd/directdoc.asp?DDFDocuments/t/G/TBTN25/SAU1387R2.docx")</f>
        <v>https://docs.wto.org/imrd/directdoc.asp?DDFDocuments/t/G/TBTN25/SAU1387R2.docx</v>
      </c>
      <c r="S141" t="str">
        <f>HYPERLINK("https://docs.wto.org/imrd/directdoc.asp?DDFDocuments/u/G/TBTN25/SAU1387R2.docx", "https://docs.wto.org/imrd/directdoc.asp?DDFDocuments/u/G/TBTN25/SAU1387R2.docx")</f>
        <v>https://docs.wto.org/imrd/directdoc.asp?DDFDocuments/u/G/TBTN25/SAU1387R2.docx</v>
      </c>
      <c r="T141" t="str">
        <f>HYPERLINK("https://docs.wto.org/imrd/directdoc.asp?DDFDocuments/v/G/TBTN25/SAU1387R2.docx", "https://docs.wto.org/imrd/directdoc.asp?DDFDocuments/v/G/TBTN25/SAU1387R2.docx")</f>
        <v>https://docs.wto.org/imrd/directdoc.asp?DDFDocuments/v/G/TBTN25/SAU1387R2.docx</v>
      </c>
      <c r="U141" t="s">
        <v>64</v>
      </c>
      <c r="V141" t="s">
        <v>46</v>
      </c>
      <c r="W141" t="s">
        <v>64</v>
      </c>
      <c r="X141" t="s">
        <v>46</v>
      </c>
      <c r="Y141" t="s">
        <v>46</v>
      </c>
      <c r="Z141" t="s">
        <v>46</v>
      </c>
      <c r="AA141" t="s">
        <v>46</v>
      </c>
      <c r="AB141" s="2" t="s">
        <v>43</v>
      </c>
      <c r="AC141" t="s">
        <v>43</v>
      </c>
      <c r="AD141" t="s">
        <v>43</v>
      </c>
      <c r="AE141" t="s">
        <v>43</v>
      </c>
      <c r="AF141" t="s">
        <v>43</v>
      </c>
      <c r="AG141" t="s">
        <v>43</v>
      </c>
      <c r="AH141" s="2" t="s">
        <v>43</v>
      </c>
    </row>
    <row r="142" spans="1:34" ht="60">
      <c r="A142" s="6" t="s">
        <v>390</v>
      </c>
      <c r="B142" s="7">
        <v>46094</v>
      </c>
      <c r="C142" s="9" t="str">
        <f>HYPERLINK("https://eping.wto.org/en/Search?viewData= G/TBT/N/TZA/1533"," G/TBT/N/TZA/1533")</f>
        <v xml:space="preserve"> G/TBT/N/TZA/1533</v>
      </c>
      <c r="D142" s="8" t="s">
        <v>811</v>
      </c>
      <c r="E142" s="8" t="s">
        <v>812</v>
      </c>
      <c r="F142" s="8" t="s">
        <v>689</v>
      </c>
      <c r="G142" s="8" t="s">
        <v>690</v>
      </c>
      <c r="H142" s="8" t="s">
        <v>650</v>
      </c>
      <c r="I142" s="8" t="s">
        <v>684</v>
      </c>
      <c r="J142" s="8" t="s">
        <v>43</v>
      </c>
      <c r="K142" s="8" t="s">
        <v>749</v>
      </c>
      <c r="L142" s="6"/>
      <c r="M142" s="7">
        <v>46154</v>
      </c>
      <c r="N142" s="7" t="s">
        <v>79</v>
      </c>
      <c r="O142" s="7" t="s">
        <v>79</v>
      </c>
      <c r="P142" s="6" t="s">
        <v>62</v>
      </c>
      <c r="Q142" s="8" t="s">
        <v>813</v>
      </c>
      <c r="R142" t="str">
        <f>HYPERLINK("https://docs.wto.org/imrd/directdoc.asp?DDFDocuments/t/G/TBTN26/TZA1533.docx", "https://docs.wto.org/imrd/directdoc.asp?DDFDocuments/t/G/TBTN26/TZA1533.docx")</f>
        <v>https://docs.wto.org/imrd/directdoc.asp?DDFDocuments/t/G/TBTN26/TZA1533.docx</v>
      </c>
      <c r="S142" t="str">
        <f>HYPERLINK("https://docs.wto.org/imrd/directdoc.asp?DDFDocuments/u/G/TBTN26/TZA1533.docx", "https://docs.wto.org/imrd/directdoc.asp?DDFDocuments/u/G/TBTN26/TZA1533.docx")</f>
        <v>https://docs.wto.org/imrd/directdoc.asp?DDFDocuments/u/G/TBTN26/TZA1533.docx</v>
      </c>
      <c r="T142" t="str">
        <f>HYPERLINK("https://docs.wto.org/imrd/directdoc.asp?DDFDocuments/v/G/TBTN26/TZA1533.docx", "https://docs.wto.org/imrd/directdoc.asp?DDFDocuments/v/G/TBTN26/TZA1533.docx")</f>
        <v>https://docs.wto.org/imrd/directdoc.asp?DDFDocuments/v/G/TBTN26/TZA1533.docx</v>
      </c>
      <c r="U142" t="s">
        <v>64</v>
      </c>
      <c r="V142" t="s">
        <v>46</v>
      </c>
      <c r="W142" t="s">
        <v>46</v>
      </c>
      <c r="X142" t="s">
        <v>46</v>
      </c>
      <c r="Y142" t="s">
        <v>46</v>
      </c>
      <c r="Z142" t="s">
        <v>46</v>
      </c>
      <c r="AA142" t="s">
        <v>46</v>
      </c>
      <c r="AB142" s="2" t="s">
        <v>814</v>
      </c>
      <c r="AC142" t="s">
        <v>43</v>
      </c>
      <c r="AD142" t="s">
        <v>43</v>
      </c>
      <c r="AE142" t="s">
        <v>43</v>
      </c>
      <c r="AF142" t="s">
        <v>43</v>
      </c>
      <c r="AG142" t="s">
        <v>43</v>
      </c>
      <c r="AH142" s="2" t="s">
        <v>43</v>
      </c>
    </row>
    <row r="143" spans="1:34" ht="255">
      <c r="A143" s="6" t="s">
        <v>108</v>
      </c>
      <c r="B143" s="7">
        <v>46094</v>
      </c>
      <c r="C143" s="9" t="str">
        <f>HYPERLINK("https://eping.wto.org/en/Search?viewData= G/TBT/N/BDI/727, G/TBT/N/KEN/2000, G/TBT/N/RWA/1369, G/TBT/N/TZA/1544, G/TBT/N/UGA/2326"," G/TBT/N/BDI/727, G/TBT/N/KEN/2000, G/TBT/N/RWA/1369, G/TBT/N/TZA/1544, G/TBT/N/UGA/2326")</f>
        <v xml:space="preserve"> G/TBT/N/BDI/727, G/TBT/N/KEN/2000, G/TBT/N/RWA/1369, G/TBT/N/TZA/1544, G/TBT/N/UGA/2326</v>
      </c>
      <c r="D143" s="8" t="s">
        <v>713</v>
      </c>
      <c r="E143" s="8" t="s">
        <v>714</v>
      </c>
      <c r="F143" s="8" t="s">
        <v>451</v>
      </c>
      <c r="G143" s="8" t="s">
        <v>452</v>
      </c>
      <c r="H143" s="8" t="s">
        <v>453</v>
      </c>
      <c r="I143" s="8" t="s">
        <v>684</v>
      </c>
      <c r="J143" s="8" t="s">
        <v>43</v>
      </c>
      <c r="K143" s="8" t="s">
        <v>240</v>
      </c>
      <c r="L143" s="6"/>
      <c r="M143" s="7">
        <v>46154</v>
      </c>
      <c r="N143" s="7" t="s">
        <v>79</v>
      </c>
      <c r="O143" s="7" t="s">
        <v>79</v>
      </c>
      <c r="P143" s="6" t="s">
        <v>62</v>
      </c>
      <c r="Q143" s="8" t="s">
        <v>715</v>
      </c>
      <c r="R143" t="str">
        <f>HYPERLINK("https://docs.wto.org/imrd/directdoc.asp?DDFDocuments/t/G/TBTN26/BDI727.docx", "https://docs.wto.org/imrd/directdoc.asp?DDFDocuments/t/G/TBTN26/BDI727.docx")</f>
        <v>https://docs.wto.org/imrd/directdoc.asp?DDFDocuments/t/G/TBTN26/BDI727.docx</v>
      </c>
      <c r="S143" t="str">
        <f>HYPERLINK("https://docs.wto.org/imrd/directdoc.asp?DDFDocuments/u/G/TBTN26/BDI727.docx", "https://docs.wto.org/imrd/directdoc.asp?DDFDocuments/u/G/TBTN26/BDI727.docx")</f>
        <v>https://docs.wto.org/imrd/directdoc.asp?DDFDocuments/u/G/TBTN26/BDI727.docx</v>
      </c>
      <c r="T143" t="str">
        <f>HYPERLINK("https://docs.wto.org/imrd/directdoc.asp?DDFDocuments/v/G/TBTN26/BDI727.docx", "https://docs.wto.org/imrd/directdoc.asp?DDFDocuments/v/G/TBTN26/BDI727.docx")</f>
        <v>https://docs.wto.org/imrd/directdoc.asp?DDFDocuments/v/G/TBTN26/BDI727.docx</v>
      </c>
      <c r="U143" t="s">
        <v>64</v>
      </c>
      <c r="V143" t="s">
        <v>46</v>
      </c>
      <c r="W143" t="s">
        <v>46</v>
      </c>
      <c r="X143" t="s">
        <v>46</v>
      </c>
      <c r="Y143" t="s">
        <v>46</v>
      </c>
      <c r="Z143" t="s">
        <v>46</v>
      </c>
      <c r="AA143" t="s">
        <v>46</v>
      </c>
      <c r="AB143" s="2" t="s">
        <v>716</v>
      </c>
      <c r="AC143" t="s">
        <v>43</v>
      </c>
      <c r="AD143" t="s">
        <v>43</v>
      </c>
      <c r="AE143" t="s">
        <v>43</v>
      </c>
      <c r="AF143" t="s">
        <v>43</v>
      </c>
      <c r="AG143" t="s">
        <v>43</v>
      </c>
      <c r="AH143" s="2" t="s">
        <v>43</v>
      </c>
    </row>
    <row r="144" spans="1:34" ht="135">
      <c r="A144" s="6" t="s">
        <v>577</v>
      </c>
      <c r="B144" s="7">
        <v>46094</v>
      </c>
      <c r="C144" s="9" t="str">
        <f>HYPERLINK("https://eping.wto.org/en/Search?viewData= G/TBT/N/BDI/726, G/TBT/N/KEN/1999, G/TBT/N/RWA/1368, G/TBT/N/TZA/1542, G/TBT/N/UGA/2325"," G/TBT/N/BDI/726, G/TBT/N/KEN/1999, G/TBT/N/RWA/1368, G/TBT/N/TZA/1542, G/TBT/N/UGA/2325")</f>
        <v xml:space="preserve"> G/TBT/N/BDI/726, G/TBT/N/KEN/1999, G/TBT/N/RWA/1368, G/TBT/N/TZA/1542, G/TBT/N/UGA/2325</v>
      </c>
      <c r="D144" s="8" t="s">
        <v>682</v>
      </c>
      <c r="E144" s="8" t="s">
        <v>683</v>
      </c>
      <c r="F144" s="8" t="s">
        <v>451</v>
      </c>
      <c r="G144" s="8" t="s">
        <v>452</v>
      </c>
      <c r="H144" s="8" t="s">
        <v>453</v>
      </c>
      <c r="I144" s="8" t="s">
        <v>684</v>
      </c>
      <c r="J144" s="8" t="s">
        <v>43</v>
      </c>
      <c r="K144" s="8" t="s">
        <v>43</v>
      </c>
      <c r="L144" s="6"/>
      <c r="M144" s="7">
        <v>46154</v>
      </c>
      <c r="N144" s="7" t="s">
        <v>79</v>
      </c>
      <c r="O144" s="7" t="s">
        <v>79</v>
      </c>
      <c r="P144" s="6" t="s">
        <v>62</v>
      </c>
      <c r="Q144" s="8" t="s">
        <v>685</v>
      </c>
      <c r="R144" t="str">
        <f>HYPERLINK("https://docs.wto.org/imrd/directdoc.asp?DDFDocuments/t/G/TBTN26/BDI726.docx", "https://docs.wto.org/imrd/directdoc.asp?DDFDocuments/t/G/TBTN26/BDI726.docx")</f>
        <v>https://docs.wto.org/imrd/directdoc.asp?DDFDocuments/t/G/TBTN26/BDI726.docx</v>
      </c>
      <c r="S144" t="str">
        <f>HYPERLINK("https://docs.wto.org/imrd/directdoc.asp?DDFDocuments/u/G/TBTN26/BDI726.docx", "https://docs.wto.org/imrd/directdoc.asp?DDFDocuments/u/G/TBTN26/BDI726.docx")</f>
        <v>https://docs.wto.org/imrd/directdoc.asp?DDFDocuments/u/G/TBTN26/BDI726.docx</v>
      </c>
      <c r="T144" t="str">
        <f>HYPERLINK("https://docs.wto.org/imrd/directdoc.asp?DDFDocuments/v/G/TBTN26/BDI726.docx", "https://docs.wto.org/imrd/directdoc.asp?DDFDocuments/v/G/TBTN26/BDI726.docx")</f>
        <v>https://docs.wto.org/imrd/directdoc.asp?DDFDocuments/v/G/TBTN26/BDI726.docx</v>
      </c>
      <c r="U144" t="s">
        <v>46</v>
      </c>
      <c r="V144" t="s">
        <v>46</v>
      </c>
      <c r="W144" t="s">
        <v>64</v>
      </c>
      <c r="X144" t="s">
        <v>46</v>
      </c>
      <c r="Y144" t="s">
        <v>46</v>
      </c>
      <c r="Z144" t="s">
        <v>46</v>
      </c>
      <c r="AA144" t="s">
        <v>46</v>
      </c>
      <c r="AB144" s="2" t="s">
        <v>686</v>
      </c>
      <c r="AC144" t="s">
        <v>43</v>
      </c>
      <c r="AD144" t="s">
        <v>43</v>
      </c>
      <c r="AE144" t="s">
        <v>43</v>
      </c>
      <c r="AF144" t="s">
        <v>43</v>
      </c>
      <c r="AG144" t="s">
        <v>43</v>
      </c>
      <c r="AH144" s="2" t="s">
        <v>43</v>
      </c>
    </row>
    <row r="145" spans="1:34" ht="60">
      <c r="A145" s="6" t="s">
        <v>325</v>
      </c>
      <c r="B145" s="7">
        <v>46093</v>
      </c>
      <c r="C145" s="9" t="str">
        <f>HYPERLINK("https://eping.wto.org/en/Search?viewData= G/TBT/N/TPKM/583/Add.1"," G/TBT/N/TPKM/583/Add.1")</f>
        <v xml:space="preserve"> G/TBT/N/TPKM/583/Add.1</v>
      </c>
      <c r="D145" s="8" t="s">
        <v>815</v>
      </c>
      <c r="E145" s="8" t="s">
        <v>816</v>
      </c>
      <c r="F145" s="8" t="s">
        <v>817</v>
      </c>
      <c r="G145" s="8" t="s">
        <v>818</v>
      </c>
      <c r="H145" s="8" t="s">
        <v>819</v>
      </c>
      <c r="I145" s="8" t="s">
        <v>143</v>
      </c>
      <c r="J145" s="8" t="s">
        <v>43</v>
      </c>
      <c r="K145" s="8" t="s">
        <v>43</v>
      </c>
      <c r="L145" s="6"/>
      <c r="M145" s="7" t="s">
        <v>43</v>
      </c>
      <c r="N145" s="7"/>
      <c r="O145" s="7"/>
      <c r="P145" s="6" t="s">
        <v>44</v>
      </c>
      <c r="Q145" s="8" t="s">
        <v>820</v>
      </c>
      <c r="R145" t="str">
        <f>HYPERLINK("https://docs.wto.org/imrd/directdoc.asp?DDFDocuments/t/G/TBTN25/TPKM583A1.docx", "https://docs.wto.org/imrd/directdoc.asp?DDFDocuments/t/G/TBTN25/TPKM583A1.docx")</f>
        <v>https://docs.wto.org/imrd/directdoc.asp?DDFDocuments/t/G/TBTN25/TPKM583A1.docx</v>
      </c>
      <c r="S145" t="str">
        <f>HYPERLINK("https://docs.wto.org/imrd/directdoc.asp?DDFDocuments/u/G/TBTN25/TPKM583A1.docx", "https://docs.wto.org/imrd/directdoc.asp?DDFDocuments/u/G/TBTN25/TPKM583A1.docx")</f>
        <v>https://docs.wto.org/imrd/directdoc.asp?DDFDocuments/u/G/TBTN25/TPKM583A1.docx</v>
      </c>
      <c r="T145" t="str">
        <f>HYPERLINK("https://docs.wto.org/imrd/directdoc.asp?DDFDocuments/v/G/TBTN25/TPKM583A1.docx", "https://docs.wto.org/imrd/directdoc.asp?DDFDocuments/v/G/TBTN25/TPKM583A1.docx")</f>
        <v>https://docs.wto.org/imrd/directdoc.asp?DDFDocuments/v/G/TBTN25/TPKM583A1.docx</v>
      </c>
      <c r="U145" t="s">
        <v>46</v>
      </c>
      <c r="V145" t="s">
        <v>46</v>
      </c>
      <c r="W145" t="s">
        <v>46</v>
      </c>
      <c r="X145" t="s">
        <v>46</v>
      </c>
      <c r="Y145" t="s">
        <v>46</v>
      </c>
      <c r="Z145" t="s">
        <v>46</v>
      </c>
      <c r="AA145" t="s">
        <v>46</v>
      </c>
      <c r="AB145" s="2" t="s">
        <v>43</v>
      </c>
      <c r="AC145" t="s">
        <v>43</v>
      </c>
      <c r="AD145" t="s">
        <v>43</v>
      </c>
      <c r="AE145" t="s">
        <v>43</v>
      </c>
      <c r="AF145" t="s">
        <v>43</v>
      </c>
      <c r="AG145" t="s">
        <v>43</v>
      </c>
      <c r="AH145" s="2" t="s">
        <v>43</v>
      </c>
    </row>
    <row r="146" spans="1:34" ht="240">
      <c r="A146" s="6" t="s">
        <v>132</v>
      </c>
      <c r="B146" s="7">
        <v>46093</v>
      </c>
      <c r="C146" s="9" t="str">
        <f>HYPERLINK("https://eping.wto.org/en/Search?viewData= G/TBT/N/USA/539/Rev.1/Add.2"," G/TBT/N/USA/539/Rev.1/Add.2")</f>
        <v xml:space="preserve"> G/TBT/N/USA/539/Rev.1/Add.2</v>
      </c>
      <c r="D146" s="8" t="s">
        <v>821</v>
      </c>
      <c r="E146" s="8" t="s">
        <v>822</v>
      </c>
      <c r="F146" s="8" t="s">
        <v>823</v>
      </c>
      <c r="G146" s="8" t="s">
        <v>824</v>
      </c>
      <c r="H146" s="8" t="s">
        <v>825</v>
      </c>
      <c r="I146" s="8" t="s">
        <v>343</v>
      </c>
      <c r="J146" s="8"/>
      <c r="K146" s="8" t="s">
        <v>43</v>
      </c>
      <c r="L146" s="6"/>
      <c r="M146" s="7" t="s">
        <v>43</v>
      </c>
      <c r="N146" s="7"/>
      <c r="O146" s="7"/>
      <c r="P146" s="6" t="s">
        <v>44</v>
      </c>
      <c r="Q146" s="8" t="s">
        <v>826</v>
      </c>
      <c r="R146" t="str">
        <f>HYPERLINK("https://docs.wto.org/imrd/directdoc.asp?DDFDocuments/t/G/TBTN10/USA539R1A2.docx", "https://docs.wto.org/imrd/directdoc.asp?DDFDocuments/t/G/TBTN10/USA539R1A2.docx")</f>
        <v>https://docs.wto.org/imrd/directdoc.asp?DDFDocuments/t/G/TBTN10/USA539R1A2.docx</v>
      </c>
      <c r="S146" t="str">
        <f>HYPERLINK("https://docs.wto.org/imrd/directdoc.asp?DDFDocuments/u/G/TBTN10/USA539R1A2.docx", "https://docs.wto.org/imrd/directdoc.asp?DDFDocuments/u/G/TBTN10/USA539R1A2.docx")</f>
        <v>https://docs.wto.org/imrd/directdoc.asp?DDFDocuments/u/G/TBTN10/USA539R1A2.docx</v>
      </c>
      <c r="T146" t="str">
        <f>HYPERLINK("https://docs.wto.org/imrd/directdoc.asp?DDFDocuments/v/G/TBTN10/USA539R1A2.docx", "https://docs.wto.org/imrd/directdoc.asp?DDFDocuments/v/G/TBTN10/USA539R1A2.docx")</f>
        <v>https://docs.wto.org/imrd/directdoc.asp?DDFDocuments/v/G/TBTN10/USA539R1A2.docx</v>
      </c>
      <c r="U146" t="s">
        <v>46</v>
      </c>
      <c r="V146" t="s">
        <v>46</v>
      </c>
      <c r="W146" t="s">
        <v>46</v>
      </c>
      <c r="X146" t="s">
        <v>46</v>
      </c>
      <c r="Y146" t="s">
        <v>46</v>
      </c>
      <c r="Z146" t="s">
        <v>46</v>
      </c>
      <c r="AA146" t="s">
        <v>46</v>
      </c>
      <c r="AB146" s="2" t="s">
        <v>43</v>
      </c>
      <c r="AC146" t="s">
        <v>43</v>
      </c>
      <c r="AD146" t="s">
        <v>43</v>
      </c>
      <c r="AE146" t="s">
        <v>43</v>
      </c>
      <c r="AF146" t="s">
        <v>43</v>
      </c>
      <c r="AG146" t="s">
        <v>43</v>
      </c>
      <c r="AH146" s="2" t="s">
        <v>43</v>
      </c>
    </row>
    <row r="147" spans="1:34" ht="409.5">
      <c r="A147" s="6" t="s">
        <v>132</v>
      </c>
      <c r="B147" s="7">
        <v>46093</v>
      </c>
      <c r="C147" s="9" t="str">
        <f>HYPERLINK("https://eping.wto.org/en/Search?viewData= G/TBT/N/USA/2036/Rev.1/Add.3"," G/TBT/N/USA/2036/Rev.1/Add.3")</f>
        <v xml:space="preserve"> G/TBT/N/USA/2036/Rev.1/Add.3</v>
      </c>
      <c r="D147" s="8" t="s">
        <v>827</v>
      </c>
      <c r="E147" s="8" t="s">
        <v>828</v>
      </c>
      <c r="F147" s="8" t="s">
        <v>334</v>
      </c>
      <c r="G147" s="8" t="s">
        <v>43</v>
      </c>
      <c r="H147" s="8" t="s">
        <v>335</v>
      </c>
      <c r="I147" s="8" t="s">
        <v>336</v>
      </c>
      <c r="J147" s="8" t="s">
        <v>43</v>
      </c>
      <c r="K147" s="8" t="s">
        <v>43</v>
      </c>
      <c r="L147" s="6"/>
      <c r="M147" s="7" t="s">
        <v>43</v>
      </c>
      <c r="N147" s="7"/>
      <c r="O147" s="7"/>
      <c r="P147" s="6" t="s">
        <v>44</v>
      </c>
      <c r="Q147" s="6"/>
      <c r="R147" t="str">
        <f>HYPERLINK("https://docs.wto.org/imrd/directdoc.asp?DDFDocuments/t/G/TBTN23/USA2036R1A3.docx", "https://docs.wto.org/imrd/directdoc.asp?DDFDocuments/t/G/TBTN23/USA2036R1A3.docx")</f>
        <v>https://docs.wto.org/imrd/directdoc.asp?DDFDocuments/t/G/TBTN23/USA2036R1A3.docx</v>
      </c>
      <c r="S147" t="str">
        <f>HYPERLINK("https://docs.wto.org/imrd/directdoc.asp?DDFDocuments/u/G/TBTN23/USA2036R1A3.docx", "https://docs.wto.org/imrd/directdoc.asp?DDFDocuments/u/G/TBTN23/USA2036R1A3.docx")</f>
        <v>https://docs.wto.org/imrd/directdoc.asp?DDFDocuments/u/G/TBTN23/USA2036R1A3.docx</v>
      </c>
      <c r="T147" t="str">
        <f>HYPERLINK("https://docs.wto.org/imrd/directdoc.asp?DDFDocuments/v/G/TBTN23/USA2036R1A3.docx", "https://docs.wto.org/imrd/directdoc.asp?DDFDocuments/v/G/TBTN23/USA2036R1A3.docx")</f>
        <v>https://docs.wto.org/imrd/directdoc.asp?DDFDocuments/v/G/TBTN23/USA2036R1A3.docx</v>
      </c>
      <c r="U147" t="s">
        <v>46</v>
      </c>
      <c r="V147" t="s">
        <v>46</v>
      </c>
      <c r="W147" t="s">
        <v>46</v>
      </c>
      <c r="X147" t="s">
        <v>46</v>
      </c>
      <c r="Y147" t="s">
        <v>46</v>
      </c>
      <c r="Z147" t="s">
        <v>46</v>
      </c>
      <c r="AA147" t="s">
        <v>46</v>
      </c>
      <c r="AB147" s="2" t="s">
        <v>43</v>
      </c>
      <c r="AC147" t="s">
        <v>43</v>
      </c>
      <c r="AD147" t="s">
        <v>43</v>
      </c>
      <c r="AE147" t="s">
        <v>43</v>
      </c>
      <c r="AF147" t="s">
        <v>43</v>
      </c>
      <c r="AG147" t="s">
        <v>43</v>
      </c>
      <c r="AH147" s="2" t="s">
        <v>43</v>
      </c>
    </row>
    <row r="148" spans="1:34" ht="60">
      <c r="A148" s="6" t="s">
        <v>325</v>
      </c>
      <c r="B148" s="7">
        <v>46093</v>
      </c>
      <c r="C148" s="9" t="str">
        <f>HYPERLINK("https://eping.wto.org/en/Search?viewData= G/TBT/N/TPKM/582/Add.1"," G/TBT/N/TPKM/582/Add.1")</f>
        <v xml:space="preserve"> G/TBT/N/TPKM/582/Add.1</v>
      </c>
      <c r="D148" s="8" t="s">
        <v>829</v>
      </c>
      <c r="E148" s="8" t="s">
        <v>830</v>
      </c>
      <c r="F148" s="8" t="s">
        <v>831</v>
      </c>
      <c r="G148" s="8" t="s">
        <v>832</v>
      </c>
      <c r="H148" s="8" t="s">
        <v>819</v>
      </c>
      <c r="I148" s="8" t="s">
        <v>275</v>
      </c>
      <c r="J148" s="8" t="s">
        <v>43</v>
      </c>
      <c r="K148" s="8" t="s">
        <v>43</v>
      </c>
      <c r="L148" s="6"/>
      <c r="M148" s="7" t="s">
        <v>43</v>
      </c>
      <c r="N148" s="7"/>
      <c r="O148" s="7"/>
      <c r="P148" s="6" t="s">
        <v>44</v>
      </c>
      <c r="Q148" s="8" t="s">
        <v>833</v>
      </c>
      <c r="R148" t="str">
        <f>HYPERLINK("https://docs.wto.org/imrd/directdoc.asp?DDFDocuments/t/G/TBTN25/TPKM582A1.docx", "https://docs.wto.org/imrd/directdoc.asp?DDFDocuments/t/G/TBTN25/TPKM582A1.docx")</f>
        <v>https://docs.wto.org/imrd/directdoc.asp?DDFDocuments/t/G/TBTN25/TPKM582A1.docx</v>
      </c>
      <c r="S148" t="str">
        <f>HYPERLINK("https://docs.wto.org/imrd/directdoc.asp?DDFDocuments/u/G/TBTN25/TPKM582A1.docx", "https://docs.wto.org/imrd/directdoc.asp?DDFDocuments/u/G/TBTN25/TPKM582A1.docx")</f>
        <v>https://docs.wto.org/imrd/directdoc.asp?DDFDocuments/u/G/TBTN25/TPKM582A1.docx</v>
      </c>
      <c r="T148" t="str">
        <f>HYPERLINK("https://docs.wto.org/imrd/directdoc.asp?DDFDocuments/v/G/TBTN25/TPKM582A1.docx", "https://docs.wto.org/imrd/directdoc.asp?DDFDocuments/v/G/TBTN25/TPKM582A1.docx")</f>
        <v>https://docs.wto.org/imrd/directdoc.asp?DDFDocuments/v/G/TBTN25/TPKM582A1.docx</v>
      </c>
      <c r="U148" t="s">
        <v>46</v>
      </c>
      <c r="V148" t="s">
        <v>46</v>
      </c>
      <c r="W148" t="s">
        <v>46</v>
      </c>
      <c r="X148" t="s">
        <v>46</v>
      </c>
      <c r="Y148" t="s">
        <v>46</v>
      </c>
      <c r="Z148" t="s">
        <v>46</v>
      </c>
      <c r="AA148" t="s">
        <v>46</v>
      </c>
      <c r="AB148" s="2" t="s">
        <v>43</v>
      </c>
      <c r="AC148" t="s">
        <v>43</v>
      </c>
      <c r="AD148" t="s">
        <v>43</v>
      </c>
      <c r="AE148" t="s">
        <v>43</v>
      </c>
      <c r="AF148" t="s">
        <v>43</v>
      </c>
      <c r="AG148" t="s">
        <v>43</v>
      </c>
      <c r="AH148" s="2" t="s">
        <v>43</v>
      </c>
    </row>
    <row r="149" spans="1:34" ht="45">
      <c r="A149" s="6" t="s">
        <v>89</v>
      </c>
      <c r="B149" s="7">
        <v>46093</v>
      </c>
      <c r="C149" s="9" t="str">
        <f>HYPERLINK("https://eping.wto.org/en/Search?viewData= G/SPS/N/CRI/350"," G/SPS/N/CRI/350")</f>
        <v xml:space="preserve"> G/SPS/N/CRI/350</v>
      </c>
      <c r="D149" s="8" t="s">
        <v>834</v>
      </c>
      <c r="E149" s="8" t="s">
        <v>835</v>
      </c>
      <c r="F149" s="8" t="s">
        <v>836</v>
      </c>
      <c r="G149" s="8" t="s">
        <v>837</v>
      </c>
      <c r="H149" s="8" t="s">
        <v>43</v>
      </c>
      <c r="I149" s="8" t="s">
        <v>94</v>
      </c>
      <c r="J149" s="8" t="s">
        <v>43</v>
      </c>
      <c r="K149" s="8" t="s">
        <v>121</v>
      </c>
      <c r="L149" s="6" t="s">
        <v>289</v>
      </c>
      <c r="M149" s="7">
        <v>46153</v>
      </c>
      <c r="N149" s="7" t="s">
        <v>79</v>
      </c>
      <c r="O149" s="7" t="s">
        <v>97</v>
      </c>
      <c r="P149" s="6" t="s">
        <v>62</v>
      </c>
      <c r="Q149" s="8" t="s">
        <v>838</v>
      </c>
      <c r="R149" t="str">
        <f>HYPERLINK("https://docs.wto.org/imrd/directdoc.asp?DDFDocuments/t/G/SPS/NCRI350.docx", "https://docs.wto.org/imrd/directdoc.asp?DDFDocuments/t/G/SPS/NCRI350.docx")</f>
        <v>https://docs.wto.org/imrd/directdoc.asp?DDFDocuments/t/G/SPS/NCRI350.docx</v>
      </c>
      <c r="S149" t="str">
        <f>HYPERLINK("https://docs.wto.org/imrd/directdoc.asp?DDFDocuments/u/G/SPS/NCRI350.docx", "https://docs.wto.org/imrd/directdoc.asp?DDFDocuments/u/G/SPS/NCRI350.docx")</f>
        <v>https://docs.wto.org/imrd/directdoc.asp?DDFDocuments/u/G/SPS/NCRI350.docx</v>
      </c>
      <c r="T149" t="str">
        <f>HYPERLINK("https://docs.wto.org/imrd/directdoc.asp?DDFDocuments/v/G/SPS/NCRI350.docx", "https://docs.wto.org/imrd/directdoc.asp?DDFDocuments/v/G/SPS/NCRI350.docx")</f>
        <v>https://docs.wto.org/imrd/directdoc.asp?DDFDocuments/v/G/SPS/NCRI350.docx</v>
      </c>
      <c r="U149" t="s">
        <v>43</v>
      </c>
      <c r="V149" t="s">
        <v>43</v>
      </c>
      <c r="W149" t="s">
        <v>43</v>
      </c>
      <c r="X149" t="s">
        <v>43</v>
      </c>
      <c r="Y149" t="s">
        <v>43</v>
      </c>
      <c r="Z149" t="s">
        <v>43</v>
      </c>
      <c r="AA149" t="s">
        <v>43</v>
      </c>
      <c r="AB149" s="2" t="s">
        <v>43</v>
      </c>
      <c r="AC149" t="s">
        <v>46</v>
      </c>
      <c r="AD149" t="s">
        <v>46</v>
      </c>
      <c r="AE149" t="s">
        <v>46</v>
      </c>
      <c r="AF149" t="s">
        <v>64</v>
      </c>
      <c r="AG149" t="s">
        <v>99</v>
      </c>
      <c r="AH149" s="2" t="s">
        <v>43</v>
      </c>
    </row>
    <row r="150" spans="1:34" ht="45">
      <c r="A150" s="6" t="s">
        <v>89</v>
      </c>
      <c r="B150" s="7">
        <v>46093</v>
      </c>
      <c r="C150" s="9" t="str">
        <f>HYPERLINK("https://eping.wto.org/en/Search?viewData= G/SPS/N/CRI/351"," G/SPS/N/CRI/351")</f>
        <v xml:space="preserve"> G/SPS/N/CRI/351</v>
      </c>
      <c r="D150" s="8" t="s">
        <v>839</v>
      </c>
      <c r="E150" s="8" t="s">
        <v>840</v>
      </c>
      <c r="F150" s="8" t="s">
        <v>836</v>
      </c>
      <c r="G150" s="8" t="s">
        <v>837</v>
      </c>
      <c r="H150" s="8" t="s">
        <v>43</v>
      </c>
      <c r="I150" s="8" t="s">
        <v>94</v>
      </c>
      <c r="J150" s="8" t="s">
        <v>43</v>
      </c>
      <c r="K150" s="8" t="s">
        <v>121</v>
      </c>
      <c r="L150" s="6" t="s">
        <v>841</v>
      </c>
      <c r="M150" s="7">
        <v>46153</v>
      </c>
      <c r="N150" s="7" t="s">
        <v>79</v>
      </c>
      <c r="O150" s="7" t="s">
        <v>97</v>
      </c>
      <c r="P150" s="6" t="s">
        <v>62</v>
      </c>
      <c r="Q150" s="8" t="s">
        <v>842</v>
      </c>
      <c r="R150" t="str">
        <f>HYPERLINK("https://docs.wto.org/imrd/directdoc.asp?DDFDocuments/t/G/SPS/NCRI351.docx", "https://docs.wto.org/imrd/directdoc.asp?DDFDocuments/t/G/SPS/NCRI351.docx")</f>
        <v>https://docs.wto.org/imrd/directdoc.asp?DDFDocuments/t/G/SPS/NCRI351.docx</v>
      </c>
      <c r="S150" t="str">
        <f>HYPERLINK("https://docs.wto.org/imrd/directdoc.asp?DDFDocuments/u/G/SPS/NCRI351.docx", "https://docs.wto.org/imrd/directdoc.asp?DDFDocuments/u/G/SPS/NCRI351.docx")</f>
        <v>https://docs.wto.org/imrd/directdoc.asp?DDFDocuments/u/G/SPS/NCRI351.docx</v>
      </c>
      <c r="T150" t="str">
        <f>HYPERLINK("https://docs.wto.org/imrd/directdoc.asp?DDFDocuments/v/G/SPS/NCRI351.docx", "https://docs.wto.org/imrd/directdoc.asp?DDFDocuments/v/G/SPS/NCRI351.docx")</f>
        <v>https://docs.wto.org/imrd/directdoc.asp?DDFDocuments/v/G/SPS/NCRI351.docx</v>
      </c>
      <c r="U150" t="s">
        <v>43</v>
      </c>
      <c r="V150" t="s">
        <v>43</v>
      </c>
      <c r="W150" t="s">
        <v>43</v>
      </c>
      <c r="X150" t="s">
        <v>43</v>
      </c>
      <c r="Y150" t="s">
        <v>43</v>
      </c>
      <c r="Z150" t="s">
        <v>43</v>
      </c>
      <c r="AA150" t="s">
        <v>43</v>
      </c>
      <c r="AB150" s="2" t="s">
        <v>43</v>
      </c>
      <c r="AC150" t="s">
        <v>46</v>
      </c>
      <c r="AD150" t="s">
        <v>46</v>
      </c>
      <c r="AE150" t="s">
        <v>46</v>
      </c>
      <c r="AF150" t="s">
        <v>64</v>
      </c>
      <c r="AG150" t="s">
        <v>99</v>
      </c>
      <c r="AH150" s="2" t="s">
        <v>43</v>
      </c>
    </row>
    <row r="151" spans="1:34" ht="315">
      <c r="A151" s="6" t="s">
        <v>843</v>
      </c>
      <c r="B151" s="7">
        <v>46093</v>
      </c>
      <c r="C151" s="9" t="str">
        <f>HYPERLINK("https://eping.wto.org/en/Search?viewData= G/TBT/N/SEN/18"," G/TBT/N/SEN/18")</f>
        <v xml:space="preserve"> G/TBT/N/SEN/18</v>
      </c>
      <c r="D151" s="8" t="s">
        <v>844</v>
      </c>
      <c r="E151" s="8" t="s">
        <v>845</v>
      </c>
      <c r="F151" s="8" t="s">
        <v>846</v>
      </c>
      <c r="G151" s="8" t="s">
        <v>847</v>
      </c>
      <c r="H151" s="8" t="s">
        <v>848</v>
      </c>
      <c r="I151" s="8" t="s">
        <v>849</v>
      </c>
      <c r="J151" s="8" t="s">
        <v>850</v>
      </c>
      <c r="K151" s="8" t="s">
        <v>43</v>
      </c>
      <c r="L151" s="6"/>
      <c r="M151" s="7">
        <v>46093</v>
      </c>
      <c r="N151" s="7" t="s">
        <v>851</v>
      </c>
      <c r="O151" s="7" t="s">
        <v>852</v>
      </c>
      <c r="P151" s="6" t="s">
        <v>62</v>
      </c>
      <c r="Q151" s="8" t="s">
        <v>853</v>
      </c>
      <c r="R151" t="str">
        <f>HYPERLINK("https://docs.wto.org/imrd/directdoc.asp?DDFDocuments/t/G/TBTN26/SEN18.docx", "https://docs.wto.org/imrd/directdoc.asp?DDFDocuments/t/G/TBTN26/SEN18.docx")</f>
        <v>https://docs.wto.org/imrd/directdoc.asp?DDFDocuments/t/G/TBTN26/SEN18.docx</v>
      </c>
      <c r="S151" t="str">
        <f>HYPERLINK("https://docs.wto.org/imrd/directdoc.asp?DDFDocuments/u/G/TBTN26/SEN18.docx", "https://docs.wto.org/imrd/directdoc.asp?DDFDocuments/u/G/TBTN26/SEN18.docx")</f>
        <v>https://docs.wto.org/imrd/directdoc.asp?DDFDocuments/u/G/TBTN26/SEN18.docx</v>
      </c>
      <c r="T151" t="str">
        <f>HYPERLINK("https://docs.wto.org/imrd/directdoc.asp?DDFDocuments/v/G/TBTN26/SEN18.docx", "https://docs.wto.org/imrd/directdoc.asp?DDFDocuments/v/G/TBTN26/SEN18.docx")</f>
        <v>https://docs.wto.org/imrd/directdoc.asp?DDFDocuments/v/G/TBTN26/SEN18.docx</v>
      </c>
      <c r="U151" t="s">
        <v>64</v>
      </c>
      <c r="V151" t="s">
        <v>46</v>
      </c>
      <c r="W151" t="s">
        <v>46</v>
      </c>
      <c r="X151" t="s">
        <v>46</v>
      </c>
      <c r="Y151" t="s">
        <v>46</v>
      </c>
      <c r="Z151" t="s">
        <v>46</v>
      </c>
      <c r="AA151" t="s">
        <v>64</v>
      </c>
      <c r="AB151" s="2" t="s">
        <v>854</v>
      </c>
      <c r="AC151" t="s">
        <v>43</v>
      </c>
      <c r="AD151" t="s">
        <v>43</v>
      </c>
      <c r="AE151" t="s">
        <v>43</v>
      </c>
      <c r="AF151" t="s">
        <v>43</v>
      </c>
      <c r="AG151" t="s">
        <v>43</v>
      </c>
      <c r="AH151" s="2" t="s">
        <v>43</v>
      </c>
    </row>
    <row r="152" spans="1:34" ht="135">
      <c r="A152" s="6" t="s">
        <v>47</v>
      </c>
      <c r="B152" s="7">
        <v>46093</v>
      </c>
      <c r="C152" s="9" t="str">
        <f>HYPERLINK("https://eping.wto.org/en/Search?viewData= G/TBT/N/CAN/766/Add.2"," G/TBT/N/CAN/766/Add.2")</f>
        <v xml:space="preserve"> G/TBT/N/CAN/766/Add.2</v>
      </c>
      <c r="D152" s="8" t="s">
        <v>855</v>
      </c>
      <c r="E152" s="8" t="s">
        <v>856</v>
      </c>
      <c r="F152" s="8" t="s">
        <v>857</v>
      </c>
      <c r="G152" s="8" t="s">
        <v>43</v>
      </c>
      <c r="H152" s="8" t="s">
        <v>858</v>
      </c>
      <c r="I152" s="8" t="s">
        <v>52</v>
      </c>
      <c r="J152" s="8" t="s">
        <v>859</v>
      </c>
      <c r="K152" s="8" t="s">
        <v>860</v>
      </c>
      <c r="L152" s="6"/>
      <c r="M152" s="7">
        <v>46131</v>
      </c>
      <c r="N152" s="7"/>
      <c r="O152" s="7"/>
      <c r="P152" s="6" t="s">
        <v>44</v>
      </c>
      <c r="Q152" s="8" t="s">
        <v>861</v>
      </c>
      <c r="R152" t="str">
        <f>HYPERLINK("https://docs.wto.org/imrd/directdoc.asp?DDFDocuments/t/G/TBTN26/CAN766A2.docx", "https://docs.wto.org/imrd/directdoc.asp?DDFDocuments/t/G/TBTN26/CAN766A2.docx")</f>
        <v>https://docs.wto.org/imrd/directdoc.asp?DDFDocuments/t/G/TBTN26/CAN766A2.docx</v>
      </c>
      <c r="S152" t="str">
        <f>HYPERLINK("https://docs.wto.org/imrd/directdoc.asp?DDFDocuments/u/G/TBTN26/CAN766A2.docx", "https://docs.wto.org/imrd/directdoc.asp?DDFDocuments/u/G/TBTN26/CAN766A2.docx")</f>
        <v>https://docs.wto.org/imrd/directdoc.asp?DDFDocuments/u/G/TBTN26/CAN766A2.docx</v>
      </c>
      <c r="T152" t="str">
        <f>HYPERLINK("https://docs.wto.org/imrd/directdoc.asp?DDFDocuments/v/G/TBTN26/CAN766A2.docx", "https://docs.wto.org/imrd/directdoc.asp?DDFDocuments/v/G/TBTN26/CAN766A2.docx")</f>
        <v>https://docs.wto.org/imrd/directdoc.asp?DDFDocuments/v/G/TBTN26/CAN766A2.docx</v>
      </c>
      <c r="U152" t="s">
        <v>46</v>
      </c>
      <c r="V152" t="s">
        <v>46</v>
      </c>
      <c r="W152" t="s">
        <v>46</v>
      </c>
      <c r="X152" t="s">
        <v>46</v>
      </c>
      <c r="Y152" t="s">
        <v>46</v>
      </c>
      <c r="Z152" t="s">
        <v>46</v>
      </c>
      <c r="AA152" t="s">
        <v>46</v>
      </c>
      <c r="AB152" s="2" t="s">
        <v>43</v>
      </c>
      <c r="AC152" t="s">
        <v>43</v>
      </c>
      <c r="AD152" t="s">
        <v>43</v>
      </c>
      <c r="AE152" t="s">
        <v>43</v>
      </c>
      <c r="AF152" t="s">
        <v>43</v>
      </c>
      <c r="AG152" t="s">
        <v>43</v>
      </c>
      <c r="AH152" s="2" t="s">
        <v>43</v>
      </c>
    </row>
    <row r="153" spans="1:34" ht="210">
      <c r="A153" s="6" t="s">
        <v>862</v>
      </c>
      <c r="B153" s="7">
        <v>46092</v>
      </c>
      <c r="C153" s="9" t="str">
        <f>HYPERLINK("https://eping.wto.org/en/Search?viewData= G/SPS/N/CHE/101"," G/SPS/N/CHE/101")</f>
        <v xml:space="preserve"> G/SPS/N/CHE/101</v>
      </c>
      <c r="D153" s="8" t="s">
        <v>863</v>
      </c>
      <c r="E153" s="8" t="s">
        <v>864</v>
      </c>
      <c r="F153" s="8" t="s">
        <v>865</v>
      </c>
      <c r="G153" s="8" t="s">
        <v>43</v>
      </c>
      <c r="H153" s="8" t="s">
        <v>43</v>
      </c>
      <c r="I153" s="8" t="s">
        <v>58</v>
      </c>
      <c r="J153" s="8" t="s">
        <v>43</v>
      </c>
      <c r="K153" s="8" t="s">
        <v>866</v>
      </c>
      <c r="L153" s="6" t="s">
        <v>43</v>
      </c>
      <c r="M153" s="7" t="s">
        <v>43</v>
      </c>
      <c r="N153" s="7"/>
      <c r="O153" s="7">
        <v>46085</v>
      </c>
      <c r="P153" s="6" t="s">
        <v>107</v>
      </c>
      <c r="Q153" s="8" t="s">
        <v>867</v>
      </c>
      <c r="R153" t="str">
        <f>HYPERLINK("https://docs.wto.org/imrd/directdoc.asp?DDFDocuments/t/G/SPS/NCHE101.docx", "https://docs.wto.org/imrd/directdoc.asp?DDFDocuments/t/G/SPS/NCHE101.docx")</f>
        <v>https://docs.wto.org/imrd/directdoc.asp?DDFDocuments/t/G/SPS/NCHE101.docx</v>
      </c>
      <c r="S153" t="str">
        <f>HYPERLINK("https://docs.wto.org/imrd/directdoc.asp?DDFDocuments/u/G/SPS/NCHE101.docx", "https://docs.wto.org/imrd/directdoc.asp?DDFDocuments/u/G/SPS/NCHE101.docx")</f>
        <v>https://docs.wto.org/imrd/directdoc.asp?DDFDocuments/u/G/SPS/NCHE101.docx</v>
      </c>
      <c r="T153" t="str">
        <f>HYPERLINK("https://docs.wto.org/imrd/directdoc.asp?DDFDocuments/v/G/SPS/NCHE101.docx", "https://docs.wto.org/imrd/directdoc.asp?DDFDocuments/v/G/SPS/NCHE101.docx")</f>
        <v>https://docs.wto.org/imrd/directdoc.asp?DDFDocuments/v/G/SPS/NCHE101.docx</v>
      </c>
      <c r="U153" t="s">
        <v>43</v>
      </c>
      <c r="V153" t="s">
        <v>43</v>
      </c>
      <c r="W153" t="s">
        <v>43</v>
      </c>
      <c r="X153" t="s">
        <v>43</v>
      </c>
      <c r="Y153" t="s">
        <v>43</v>
      </c>
      <c r="Z153" t="s">
        <v>43</v>
      </c>
      <c r="AA153" t="s">
        <v>43</v>
      </c>
      <c r="AB153" s="2" t="s">
        <v>43</v>
      </c>
      <c r="AC153" t="s">
        <v>46</v>
      </c>
      <c r="AD153" t="s">
        <v>46</v>
      </c>
      <c r="AE153" t="s">
        <v>46</v>
      </c>
      <c r="AF153" t="s">
        <v>64</v>
      </c>
      <c r="AG153" t="s">
        <v>99</v>
      </c>
      <c r="AH153" s="2" t="s">
        <v>43</v>
      </c>
    </row>
    <row r="154" spans="1:34" ht="120">
      <c r="A154" s="6" t="s">
        <v>356</v>
      </c>
      <c r="B154" s="7">
        <v>46092</v>
      </c>
      <c r="C154" s="9" t="str">
        <f>HYPERLINK("https://eping.wto.org/en/Search?viewData= G/SPS/N/EU/916/Corr.1"," G/SPS/N/EU/916/Corr.1")</f>
        <v xml:space="preserve"> G/SPS/N/EU/916/Corr.1</v>
      </c>
      <c r="D154" s="8" t="s">
        <v>868</v>
      </c>
      <c r="E154" s="8" t="s">
        <v>869</v>
      </c>
      <c r="F154" s="8" t="s">
        <v>870</v>
      </c>
      <c r="G154" s="8" t="s">
        <v>871</v>
      </c>
      <c r="H154" s="8" t="s">
        <v>43</v>
      </c>
      <c r="I154" s="8" t="s">
        <v>58</v>
      </c>
      <c r="J154" s="8" t="s">
        <v>43</v>
      </c>
      <c r="K154" s="8" t="s">
        <v>872</v>
      </c>
      <c r="L154" s="6"/>
      <c r="M154" s="7" t="s">
        <v>43</v>
      </c>
      <c r="N154" s="7"/>
      <c r="O154" s="7"/>
      <c r="P154" s="6" t="s">
        <v>296</v>
      </c>
      <c r="Q154" s="6"/>
      <c r="R154" t="str">
        <f>HYPERLINK("https://docs.wto.org/imrd/directdoc.asp?DDFDocuments/t/G/SPS/NEU916C1.docx", "https://docs.wto.org/imrd/directdoc.asp?DDFDocuments/t/G/SPS/NEU916C1.docx")</f>
        <v>https://docs.wto.org/imrd/directdoc.asp?DDFDocuments/t/G/SPS/NEU916C1.docx</v>
      </c>
      <c r="S154" t="str">
        <f>HYPERLINK("https://docs.wto.org/imrd/directdoc.asp?DDFDocuments/u/G/SPS/NEU916C1.docx", "https://docs.wto.org/imrd/directdoc.asp?DDFDocuments/u/G/SPS/NEU916C1.docx")</f>
        <v>https://docs.wto.org/imrd/directdoc.asp?DDFDocuments/u/G/SPS/NEU916C1.docx</v>
      </c>
      <c r="T154" t="str">
        <f>HYPERLINK("https://docs.wto.org/imrd/directdoc.asp?DDFDocuments/v/G/SPS/NEU916C1.docx", "https://docs.wto.org/imrd/directdoc.asp?DDFDocuments/v/G/SPS/NEU916C1.docx")</f>
        <v>https://docs.wto.org/imrd/directdoc.asp?DDFDocuments/v/G/SPS/NEU916C1.docx</v>
      </c>
      <c r="U154" t="s">
        <v>43</v>
      </c>
      <c r="V154" t="s">
        <v>43</v>
      </c>
      <c r="W154" t="s">
        <v>43</v>
      </c>
      <c r="X154" t="s">
        <v>43</v>
      </c>
      <c r="Y154" t="s">
        <v>43</v>
      </c>
      <c r="Z154" t="s">
        <v>43</v>
      </c>
      <c r="AA154" t="s">
        <v>43</v>
      </c>
      <c r="AB154" s="2" t="s">
        <v>43</v>
      </c>
      <c r="AC154" t="s">
        <v>43</v>
      </c>
      <c r="AD154" t="s">
        <v>43</v>
      </c>
      <c r="AE154" t="s">
        <v>43</v>
      </c>
      <c r="AF154" t="s">
        <v>43</v>
      </c>
      <c r="AG154" t="s">
        <v>43</v>
      </c>
      <c r="AH154" s="2" t="s">
        <v>43</v>
      </c>
    </row>
    <row r="155" spans="1:34" ht="90">
      <c r="A155" s="6" t="s">
        <v>146</v>
      </c>
      <c r="B155" s="7">
        <v>46092</v>
      </c>
      <c r="C155" s="9" t="str">
        <f>HYPERLINK("https://eping.wto.org/en/Search?viewData= G/TBT/N/CHL/789"," G/TBT/N/CHL/789")</f>
        <v xml:space="preserve"> G/TBT/N/CHL/789</v>
      </c>
      <c r="D155" s="8" t="s">
        <v>873</v>
      </c>
      <c r="E155" s="8" t="s">
        <v>874</v>
      </c>
      <c r="F155" s="8" t="s">
        <v>875</v>
      </c>
      <c r="G155" s="8" t="s">
        <v>43</v>
      </c>
      <c r="H155" s="8" t="s">
        <v>876</v>
      </c>
      <c r="I155" s="8" t="s">
        <v>137</v>
      </c>
      <c r="J155" s="8" t="s">
        <v>43</v>
      </c>
      <c r="K155" s="8" t="s">
        <v>43</v>
      </c>
      <c r="L155" s="6"/>
      <c r="M155" s="7">
        <v>46152</v>
      </c>
      <c r="N155" s="7" t="s">
        <v>877</v>
      </c>
      <c r="O155" s="7" t="s">
        <v>877</v>
      </c>
      <c r="P155" s="6" t="s">
        <v>62</v>
      </c>
      <c r="Q155" s="8" t="s">
        <v>878</v>
      </c>
      <c r="R155" t="str">
        <f>HYPERLINK("https://docs.wto.org/imrd/directdoc.asp?DDFDocuments/t/G/TBTN26/CHL789.docx", "https://docs.wto.org/imrd/directdoc.asp?DDFDocuments/t/G/TBTN26/CHL789.docx")</f>
        <v>https://docs.wto.org/imrd/directdoc.asp?DDFDocuments/t/G/TBTN26/CHL789.docx</v>
      </c>
      <c r="S155" t="str">
        <f>HYPERLINK("https://docs.wto.org/imrd/directdoc.asp?DDFDocuments/u/G/TBTN26/CHL789.docx", "https://docs.wto.org/imrd/directdoc.asp?DDFDocuments/u/G/TBTN26/CHL789.docx")</f>
        <v>https://docs.wto.org/imrd/directdoc.asp?DDFDocuments/u/G/TBTN26/CHL789.docx</v>
      </c>
      <c r="T155" t="str">
        <f>HYPERLINK("https://docs.wto.org/imrd/directdoc.asp?DDFDocuments/v/G/TBTN26/CHL789.docx", "https://docs.wto.org/imrd/directdoc.asp?DDFDocuments/v/G/TBTN26/CHL789.docx")</f>
        <v>https://docs.wto.org/imrd/directdoc.asp?DDFDocuments/v/G/TBTN26/CHL789.docx</v>
      </c>
      <c r="U155" t="s">
        <v>64</v>
      </c>
      <c r="V155" t="s">
        <v>46</v>
      </c>
      <c r="W155" t="s">
        <v>46</v>
      </c>
      <c r="X155" t="s">
        <v>46</v>
      </c>
      <c r="Y155" t="s">
        <v>46</v>
      </c>
      <c r="Z155" t="s">
        <v>46</v>
      </c>
      <c r="AA155" t="s">
        <v>46</v>
      </c>
      <c r="AB155" s="2" t="s">
        <v>879</v>
      </c>
      <c r="AC155" t="s">
        <v>43</v>
      </c>
      <c r="AD155" t="s">
        <v>43</v>
      </c>
      <c r="AE155" t="s">
        <v>43</v>
      </c>
      <c r="AF155" t="s">
        <v>43</v>
      </c>
      <c r="AG155" t="s">
        <v>43</v>
      </c>
      <c r="AH155" s="2" t="s">
        <v>43</v>
      </c>
    </row>
    <row r="156" spans="1:34" ht="240">
      <c r="A156" s="6" t="s">
        <v>880</v>
      </c>
      <c r="B156" s="7">
        <v>46092</v>
      </c>
      <c r="C156" s="9" t="str">
        <f>HYPERLINK("https://eping.wto.org/en/Search?viewData= G/TBT/N/ECU/180/Add.6"," G/TBT/N/ECU/180/Add.6")</f>
        <v xml:space="preserve"> G/TBT/N/ECU/180/Add.6</v>
      </c>
      <c r="D156" s="8" t="s">
        <v>881</v>
      </c>
      <c r="E156" s="8" t="s">
        <v>882</v>
      </c>
      <c r="F156" s="8" t="s">
        <v>883</v>
      </c>
      <c r="G156" s="8" t="s">
        <v>884</v>
      </c>
      <c r="H156" s="8" t="s">
        <v>885</v>
      </c>
      <c r="I156" s="8" t="s">
        <v>43</v>
      </c>
      <c r="J156" s="8" t="s">
        <v>886</v>
      </c>
      <c r="K156" s="8" t="s">
        <v>43</v>
      </c>
      <c r="L156" s="6"/>
      <c r="M156" s="7" t="s">
        <v>43</v>
      </c>
      <c r="N156" s="7"/>
      <c r="O156" s="7"/>
      <c r="P156" s="6" t="s">
        <v>44</v>
      </c>
      <c r="Q156" s="8" t="s">
        <v>887</v>
      </c>
      <c r="R156" t="str">
        <f>HYPERLINK("https://docs.wto.org/imrd/directdoc.asp?DDFDocuments/t/G/TBTN14/ECU180A6.docx", "https://docs.wto.org/imrd/directdoc.asp?DDFDocuments/t/G/TBTN14/ECU180A6.docx")</f>
        <v>https://docs.wto.org/imrd/directdoc.asp?DDFDocuments/t/G/TBTN14/ECU180A6.docx</v>
      </c>
      <c r="S156" t="str">
        <f>HYPERLINK("https://docs.wto.org/imrd/directdoc.asp?DDFDocuments/u/G/TBTN14/ECU180A6.docx", "https://docs.wto.org/imrd/directdoc.asp?DDFDocuments/u/G/TBTN14/ECU180A6.docx")</f>
        <v>https://docs.wto.org/imrd/directdoc.asp?DDFDocuments/u/G/TBTN14/ECU180A6.docx</v>
      </c>
      <c r="T156" t="str">
        <f>HYPERLINK("https://docs.wto.org/imrd/directdoc.asp?DDFDocuments/v/G/TBTN14/ECU180A6.docx", "https://docs.wto.org/imrd/directdoc.asp?DDFDocuments/v/G/TBTN14/ECU180A6.docx")</f>
        <v>https://docs.wto.org/imrd/directdoc.asp?DDFDocuments/v/G/TBTN14/ECU180A6.docx</v>
      </c>
      <c r="U156" t="s">
        <v>64</v>
      </c>
      <c r="V156" t="s">
        <v>46</v>
      </c>
      <c r="W156" t="s">
        <v>46</v>
      </c>
      <c r="X156" t="s">
        <v>46</v>
      </c>
      <c r="Y156" t="s">
        <v>46</v>
      </c>
      <c r="Z156" t="s">
        <v>46</v>
      </c>
      <c r="AA156" t="s">
        <v>46</v>
      </c>
      <c r="AB156" s="2" t="s">
        <v>43</v>
      </c>
      <c r="AC156" t="s">
        <v>43</v>
      </c>
      <c r="AD156" t="s">
        <v>43</v>
      </c>
      <c r="AE156" t="s">
        <v>43</v>
      </c>
      <c r="AF156" t="s">
        <v>43</v>
      </c>
      <c r="AG156" t="s">
        <v>43</v>
      </c>
      <c r="AH156" s="2" t="s">
        <v>43</v>
      </c>
    </row>
    <row r="157" spans="1:34" ht="60">
      <c r="A157" s="6" t="s">
        <v>325</v>
      </c>
      <c r="B157" s="7">
        <v>46092</v>
      </c>
      <c r="C157" s="9" t="str">
        <f>HYPERLINK("https://eping.wto.org/en/Search?viewData= G/TBT/N/TPKM/584/Add.1"," G/TBT/N/TPKM/584/Add.1")</f>
        <v xml:space="preserve"> G/TBT/N/TPKM/584/Add.1</v>
      </c>
      <c r="D157" s="8" t="s">
        <v>888</v>
      </c>
      <c r="E157" s="8" t="s">
        <v>889</v>
      </c>
      <c r="F157" s="8" t="s">
        <v>890</v>
      </c>
      <c r="G157" s="8" t="s">
        <v>43</v>
      </c>
      <c r="H157" s="8" t="s">
        <v>43</v>
      </c>
      <c r="I157" s="8" t="s">
        <v>143</v>
      </c>
      <c r="J157" s="8" t="s">
        <v>43</v>
      </c>
      <c r="K157" s="8" t="s">
        <v>43</v>
      </c>
      <c r="L157" s="6"/>
      <c r="M157" s="7" t="s">
        <v>43</v>
      </c>
      <c r="N157" s="7"/>
      <c r="O157" s="7"/>
      <c r="P157" s="6" t="s">
        <v>44</v>
      </c>
      <c r="Q157" s="8" t="s">
        <v>891</v>
      </c>
      <c r="R157" t="str">
        <f>HYPERLINK("https://docs.wto.org/imrd/directdoc.asp?DDFDocuments/t/G/TBTN25/TPKM584A1.docx", "https://docs.wto.org/imrd/directdoc.asp?DDFDocuments/t/G/TBTN25/TPKM584A1.docx")</f>
        <v>https://docs.wto.org/imrd/directdoc.asp?DDFDocuments/t/G/TBTN25/TPKM584A1.docx</v>
      </c>
      <c r="S157" t="str">
        <f>HYPERLINK("https://docs.wto.org/imrd/directdoc.asp?DDFDocuments/u/G/TBTN25/TPKM584A1.docx", "https://docs.wto.org/imrd/directdoc.asp?DDFDocuments/u/G/TBTN25/TPKM584A1.docx")</f>
        <v>https://docs.wto.org/imrd/directdoc.asp?DDFDocuments/u/G/TBTN25/TPKM584A1.docx</v>
      </c>
      <c r="T157" t="str">
        <f>HYPERLINK("https://docs.wto.org/imrd/directdoc.asp?DDFDocuments/v/G/TBTN25/TPKM584A1.docx", "https://docs.wto.org/imrd/directdoc.asp?DDFDocuments/v/G/TBTN25/TPKM584A1.docx")</f>
        <v>https://docs.wto.org/imrd/directdoc.asp?DDFDocuments/v/G/TBTN25/TPKM584A1.docx</v>
      </c>
      <c r="U157" t="s">
        <v>46</v>
      </c>
      <c r="V157" t="s">
        <v>46</v>
      </c>
      <c r="W157" t="s">
        <v>46</v>
      </c>
      <c r="X157" t="s">
        <v>46</v>
      </c>
      <c r="Y157" t="s">
        <v>46</v>
      </c>
      <c r="Z157" t="s">
        <v>46</v>
      </c>
      <c r="AA157" t="s">
        <v>46</v>
      </c>
      <c r="AB157" s="2" t="s">
        <v>43</v>
      </c>
      <c r="AC157" t="s">
        <v>43</v>
      </c>
      <c r="AD157" t="s">
        <v>43</v>
      </c>
      <c r="AE157" t="s">
        <v>43</v>
      </c>
      <c r="AF157" t="s">
        <v>43</v>
      </c>
      <c r="AG157" t="s">
        <v>43</v>
      </c>
      <c r="AH157" s="2" t="s">
        <v>43</v>
      </c>
    </row>
    <row r="158" spans="1:34" ht="45">
      <c r="A158" s="6" t="s">
        <v>892</v>
      </c>
      <c r="B158" s="7">
        <v>46092</v>
      </c>
      <c r="C158" s="9" t="str">
        <f>HYPERLINK("https://eping.wto.org/en/Search?viewData= G/SPS/N/PAN/118"," G/SPS/N/PAN/118")</f>
        <v xml:space="preserve"> G/SPS/N/PAN/118</v>
      </c>
      <c r="D158" s="8" t="s">
        <v>893</v>
      </c>
      <c r="E158" s="8" t="s">
        <v>894</v>
      </c>
      <c r="F158" s="8" t="s">
        <v>895</v>
      </c>
      <c r="G158" s="8" t="s">
        <v>43</v>
      </c>
      <c r="H158" s="8" t="s">
        <v>896</v>
      </c>
      <c r="I158" s="8" t="s">
        <v>58</v>
      </c>
      <c r="J158" s="8" t="s">
        <v>43</v>
      </c>
      <c r="K158" s="8" t="s">
        <v>157</v>
      </c>
      <c r="L158" s="6" t="s">
        <v>43</v>
      </c>
      <c r="M158" s="7">
        <v>46152</v>
      </c>
      <c r="N158" s="7" t="s">
        <v>79</v>
      </c>
      <c r="O158" s="7" t="s">
        <v>79</v>
      </c>
      <c r="P158" s="6" t="s">
        <v>62</v>
      </c>
      <c r="Q158" s="8" t="s">
        <v>897</v>
      </c>
      <c r="R158" t="str">
        <f>HYPERLINK("https://docs.wto.org/imrd/directdoc.asp?DDFDocuments/t/G/SPS/NPAN118.docx", "https://docs.wto.org/imrd/directdoc.asp?DDFDocuments/t/G/SPS/NPAN118.docx")</f>
        <v>https://docs.wto.org/imrd/directdoc.asp?DDFDocuments/t/G/SPS/NPAN118.docx</v>
      </c>
      <c r="S158" t="str">
        <f>HYPERLINK("https://docs.wto.org/imrd/directdoc.asp?DDFDocuments/u/G/SPS/NPAN118.docx", "https://docs.wto.org/imrd/directdoc.asp?DDFDocuments/u/G/SPS/NPAN118.docx")</f>
        <v>https://docs.wto.org/imrd/directdoc.asp?DDFDocuments/u/G/SPS/NPAN118.docx</v>
      </c>
      <c r="T158" t="str">
        <f>HYPERLINK("https://docs.wto.org/imrd/directdoc.asp?DDFDocuments/v/G/SPS/NPAN118.docx", "https://docs.wto.org/imrd/directdoc.asp?DDFDocuments/v/G/SPS/NPAN118.docx")</f>
        <v>https://docs.wto.org/imrd/directdoc.asp?DDFDocuments/v/G/SPS/NPAN118.docx</v>
      </c>
      <c r="U158" t="s">
        <v>43</v>
      </c>
      <c r="V158" t="s">
        <v>43</v>
      </c>
      <c r="W158" t="s">
        <v>43</v>
      </c>
      <c r="X158" t="s">
        <v>43</v>
      </c>
      <c r="Y158" t="s">
        <v>43</v>
      </c>
      <c r="Z158" t="s">
        <v>43</v>
      </c>
      <c r="AA158" t="s">
        <v>43</v>
      </c>
      <c r="AB158" s="2" t="s">
        <v>43</v>
      </c>
      <c r="AC158" t="s">
        <v>64</v>
      </c>
      <c r="AD158" t="s">
        <v>46</v>
      </c>
      <c r="AE158" t="s">
        <v>46</v>
      </c>
      <c r="AF158" t="s">
        <v>46</v>
      </c>
      <c r="AG158" t="s">
        <v>64</v>
      </c>
      <c r="AH158" s="2" t="s">
        <v>43</v>
      </c>
    </row>
    <row r="159" spans="1:34" ht="105">
      <c r="A159" s="6" t="s">
        <v>356</v>
      </c>
      <c r="B159" s="7">
        <v>46092</v>
      </c>
      <c r="C159" s="9" t="str">
        <f>HYPERLINK("https://eping.wto.org/en/Search?viewData= G/SPS/N/EU/930"," G/SPS/N/EU/930")</f>
        <v xml:space="preserve"> G/SPS/N/EU/930</v>
      </c>
      <c r="D159" s="8" t="s">
        <v>898</v>
      </c>
      <c r="E159" s="8" t="s">
        <v>899</v>
      </c>
      <c r="F159" s="8" t="s">
        <v>900</v>
      </c>
      <c r="G159" s="8" t="s">
        <v>43</v>
      </c>
      <c r="H159" s="8" t="s">
        <v>43</v>
      </c>
      <c r="I159" s="8" t="s">
        <v>58</v>
      </c>
      <c r="J159" s="8" t="s">
        <v>43</v>
      </c>
      <c r="K159" s="8" t="s">
        <v>310</v>
      </c>
      <c r="L159" s="6"/>
      <c r="M159" s="7">
        <v>46152</v>
      </c>
      <c r="N159" s="7" t="s">
        <v>901</v>
      </c>
      <c r="O159" s="7" t="s">
        <v>902</v>
      </c>
      <c r="P159" s="6" t="s">
        <v>62</v>
      </c>
      <c r="Q159" s="8" t="s">
        <v>903</v>
      </c>
      <c r="R159" t="str">
        <f>HYPERLINK("https://docs.wto.org/imrd/directdoc.asp?DDFDocuments/t/G/SPS/NEU930.docx", "https://docs.wto.org/imrd/directdoc.asp?DDFDocuments/t/G/SPS/NEU930.docx")</f>
        <v>https://docs.wto.org/imrd/directdoc.asp?DDFDocuments/t/G/SPS/NEU930.docx</v>
      </c>
      <c r="S159" t="str">
        <f>HYPERLINK("https://docs.wto.org/imrd/directdoc.asp?DDFDocuments/u/G/SPS/NEU930.docx", "https://docs.wto.org/imrd/directdoc.asp?DDFDocuments/u/G/SPS/NEU930.docx")</f>
        <v>https://docs.wto.org/imrd/directdoc.asp?DDFDocuments/u/G/SPS/NEU930.docx</v>
      </c>
      <c r="T159" t="str">
        <f>HYPERLINK("https://docs.wto.org/imrd/directdoc.asp?DDFDocuments/v/G/SPS/NEU930.docx", "https://docs.wto.org/imrd/directdoc.asp?DDFDocuments/v/G/SPS/NEU930.docx")</f>
        <v>https://docs.wto.org/imrd/directdoc.asp?DDFDocuments/v/G/SPS/NEU930.docx</v>
      </c>
      <c r="U159" t="s">
        <v>43</v>
      </c>
      <c r="V159" t="s">
        <v>43</v>
      </c>
      <c r="W159" t="s">
        <v>43</v>
      </c>
      <c r="X159" t="s">
        <v>43</v>
      </c>
      <c r="Y159" t="s">
        <v>43</v>
      </c>
      <c r="Z159" t="s">
        <v>43</v>
      </c>
      <c r="AA159" t="s">
        <v>43</v>
      </c>
      <c r="AB159" s="2" t="s">
        <v>43</v>
      </c>
      <c r="AC159" t="s">
        <v>46</v>
      </c>
      <c r="AD159" t="s">
        <v>46</v>
      </c>
      <c r="AE159" t="s">
        <v>46</v>
      </c>
      <c r="AF159" t="s">
        <v>64</v>
      </c>
      <c r="AG159" t="s">
        <v>99</v>
      </c>
      <c r="AH159" s="2" t="s">
        <v>43</v>
      </c>
    </row>
    <row r="160" spans="1:34" ht="45">
      <c r="A160" s="6" t="s">
        <v>904</v>
      </c>
      <c r="B160" s="7">
        <v>46092</v>
      </c>
      <c r="C160" s="9" t="str">
        <f>HYPERLINK("https://eping.wto.org/en/Search?viewData= G/SPS/N/MEX/464"," G/SPS/N/MEX/464")</f>
        <v xml:space="preserve"> G/SPS/N/MEX/464</v>
      </c>
      <c r="D160" s="8" t="s">
        <v>905</v>
      </c>
      <c r="E160" s="8" t="s">
        <v>906</v>
      </c>
      <c r="F160" s="8" t="s">
        <v>907</v>
      </c>
      <c r="G160" s="8" t="s">
        <v>908</v>
      </c>
      <c r="H160" s="8" t="s">
        <v>43</v>
      </c>
      <c r="I160" s="8" t="s">
        <v>909</v>
      </c>
      <c r="J160" s="8" t="s">
        <v>43</v>
      </c>
      <c r="K160" s="8" t="s">
        <v>910</v>
      </c>
      <c r="L160" s="6" t="s">
        <v>911</v>
      </c>
      <c r="M160" s="7">
        <v>46152</v>
      </c>
      <c r="N160" s="7" t="s">
        <v>79</v>
      </c>
      <c r="O160" s="7" t="s">
        <v>79</v>
      </c>
      <c r="P160" s="6" t="s">
        <v>62</v>
      </c>
      <c r="Q160" s="8" t="s">
        <v>912</v>
      </c>
      <c r="R160" t="str">
        <f>HYPERLINK("https://docs.wto.org/imrd/directdoc.asp?DDFDocuments/t/G/SPS/NMEX464.docx", "https://docs.wto.org/imrd/directdoc.asp?DDFDocuments/t/G/SPS/NMEX464.docx")</f>
        <v>https://docs.wto.org/imrd/directdoc.asp?DDFDocuments/t/G/SPS/NMEX464.docx</v>
      </c>
      <c r="S160" t="str">
        <f>HYPERLINK("https://docs.wto.org/imrd/directdoc.asp?DDFDocuments/u/G/SPS/NMEX464.docx", "https://docs.wto.org/imrd/directdoc.asp?DDFDocuments/u/G/SPS/NMEX464.docx")</f>
        <v>https://docs.wto.org/imrd/directdoc.asp?DDFDocuments/u/G/SPS/NMEX464.docx</v>
      </c>
      <c r="T160" t="str">
        <f>HYPERLINK("https://docs.wto.org/imrd/directdoc.asp?DDFDocuments/v/G/SPS/NMEX464.docx", "https://docs.wto.org/imrd/directdoc.asp?DDFDocuments/v/G/SPS/NMEX464.docx")</f>
        <v>https://docs.wto.org/imrd/directdoc.asp?DDFDocuments/v/G/SPS/NMEX464.docx</v>
      </c>
      <c r="U160" t="s">
        <v>43</v>
      </c>
      <c r="V160" t="s">
        <v>43</v>
      </c>
      <c r="W160" t="s">
        <v>43</v>
      </c>
      <c r="X160" t="s">
        <v>43</v>
      </c>
      <c r="Y160" t="s">
        <v>43</v>
      </c>
      <c r="Z160" t="s">
        <v>43</v>
      </c>
      <c r="AA160" t="s">
        <v>43</v>
      </c>
      <c r="AB160" s="2" t="s">
        <v>43</v>
      </c>
      <c r="AC160" t="s">
        <v>46</v>
      </c>
      <c r="AD160" t="s">
        <v>46</v>
      </c>
      <c r="AE160" t="s">
        <v>46</v>
      </c>
      <c r="AF160" t="s">
        <v>64</v>
      </c>
      <c r="AG160" t="s">
        <v>99</v>
      </c>
      <c r="AH160" s="2" t="s">
        <v>913</v>
      </c>
    </row>
    <row r="161" spans="1:34" ht="120">
      <c r="A161" s="6" t="s">
        <v>74</v>
      </c>
      <c r="B161" s="7">
        <v>46092</v>
      </c>
      <c r="C161" s="9" t="str">
        <f>HYPERLINK("https://eping.wto.org/en/Search?viewData= G/TBT/N/IND/430"," G/TBT/N/IND/430")</f>
        <v xml:space="preserve"> G/TBT/N/IND/430</v>
      </c>
      <c r="D161" s="8" t="s">
        <v>914</v>
      </c>
      <c r="E161" s="8" t="s">
        <v>915</v>
      </c>
      <c r="F161" s="8" t="s">
        <v>916</v>
      </c>
      <c r="G161" s="8" t="s">
        <v>917</v>
      </c>
      <c r="H161" s="8" t="s">
        <v>918</v>
      </c>
      <c r="I161" s="8" t="s">
        <v>52</v>
      </c>
      <c r="J161" s="8" t="s">
        <v>919</v>
      </c>
      <c r="K161" s="8" t="s">
        <v>43</v>
      </c>
      <c r="L161" s="6"/>
      <c r="M161" s="7">
        <v>46112</v>
      </c>
      <c r="N161" s="7">
        <v>46113</v>
      </c>
      <c r="O161" s="7">
        <v>46296</v>
      </c>
      <c r="P161" s="6" t="s">
        <v>62</v>
      </c>
      <c r="Q161" s="8" t="s">
        <v>920</v>
      </c>
      <c r="R161" t="str">
        <f>HYPERLINK("https://docs.wto.org/imrd/directdoc.asp?DDFDocuments/t/G/TBTN26/IND430.docx", "https://docs.wto.org/imrd/directdoc.asp?DDFDocuments/t/G/TBTN26/IND430.docx")</f>
        <v>https://docs.wto.org/imrd/directdoc.asp?DDFDocuments/t/G/TBTN26/IND430.docx</v>
      </c>
      <c r="S161" t="str">
        <f>HYPERLINK("https://docs.wto.org/imrd/directdoc.asp?DDFDocuments/u/G/TBTN26/IND430.docx", "https://docs.wto.org/imrd/directdoc.asp?DDFDocuments/u/G/TBTN26/IND430.docx")</f>
        <v>https://docs.wto.org/imrd/directdoc.asp?DDFDocuments/u/G/TBTN26/IND430.docx</v>
      </c>
      <c r="T161" t="str">
        <f>HYPERLINK("https://docs.wto.org/imrd/directdoc.asp?DDFDocuments/v/G/TBTN26/IND430.docx", "https://docs.wto.org/imrd/directdoc.asp?DDFDocuments/v/G/TBTN26/IND430.docx")</f>
        <v>https://docs.wto.org/imrd/directdoc.asp?DDFDocuments/v/G/TBTN26/IND430.docx</v>
      </c>
      <c r="U161" t="s">
        <v>64</v>
      </c>
      <c r="V161" t="s">
        <v>46</v>
      </c>
      <c r="W161" t="s">
        <v>64</v>
      </c>
      <c r="X161" t="s">
        <v>46</v>
      </c>
      <c r="Y161" t="s">
        <v>46</v>
      </c>
      <c r="Z161" t="s">
        <v>46</v>
      </c>
      <c r="AA161" t="s">
        <v>46</v>
      </c>
      <c r="AB161" s="2" t="s">
        <v>43</v>
      </c>
      <c r="AC161" t="s">
        <v>43</v>
      </c>
      <c r="AD161" t="s">
        <v>43</v>
      </c>
      <c r="AE161" t="s">
        <v>43</v>
      </c>
      <c r="AF161" t="s">
        <v>43</v>
      </c>
      <c r="AG161" t="s">
        <v>43</v>
      </c>
      <c r="AH161" s="2" t="s">
        <v>43</v>
      </c>
    </row>
    <row r="162" spans="1:34" ht="60">
      <c r="A162" s="6" t="s">
        <v>325</v>
      </c>
      <c r="B162" s="7">
        <v>46092</v>
      </c>
      <c r="C162" s="9" t="str">
        <f>HYPERLINK("https://eping.wto.org/en/Search?viewData= G/TBT/N/TPKM/581/Add.1"," G/TBT/N/TPKM/581/Add.1")</f>
        <v xml:space="preserve"> G/TBT/N/TPKM/581/Add.1</v>
      </c>
      <c r="D162" s="8" t="s">
        <v>921</v>
      </c>
      <c r="E162" s="8" t="s">
        <v>922</v>
      </c>
      <c r="F162" s="8" t="s">
        <v>923</v>
      </c>
      <c r="G162" s="8" t="s">
        <v>832</v>
      </c>
      <c r="H162" s="8" t="s">
        <v>924</v>
      </c>
      <c r="I162" s="8" t="s">
        <v>143</v>
      </c>
      <c r="J162" s="8" t="s">
        <v>43</v>
      </c>
      <c r="K162" s="8" t="s">
        <v>43</v>
      </c>
      <c r="L162" s="6"/>
      <c r="M162" s="7" t="s">
        <v>43</v>
      </c>
      <c r="N162" s="7"/>
      <c r="O162" s="7"/>
      <c r="P162" s="6" t="s">
        <v>44</v>
      </c>
      <c r="Q162" s="8" t="s">
        <v>925</v>
      </c>
      <c r="R162" t="str">
        <f>HYPERLINK("https://docs.wto.org/imrd/directdoc.asp?DDFDocuments/t/G/TBTN25/TPKM581A1.docx", "https://docs.wto.org/imrd/directdoc.asp?DDFDocuments/t/G/TBTN25/TPKM581A1.docx")</f>
        <v>https://docs.wto.org/imrd/directdoc.asp?DDFDocuments/t/G/TBTN25/TPKM581A1.docx</v>
      </c>
      <c r="S162" t="str">
        <f>HYPERLINK("https://docs.wto.org/imrd/directdoc.asp?DDFDocuments/u/G/TBTN25/TPKM581A1.docx", "https://docs.wto.org/imrd/directdoc.asp?DDFDocuments/u/G/TBTN25/TPKM581A1.docx")</f>
        <v>https://docs.wto.org/imrd/directdoc.asp?DDFDocuments/u/G/TBTN25/TPKM581A1.docx</v>
      </c>
      <c r="T162" t="str">
        <f>HYPERLINK("https://docs.wto.org/imrd/directdoc.asp?DDFDocuments/v/G/TBTN25/TPKM581A1.docx", "https://docs.wto.org/imrd/directdoc.asp?DDFDocuments/v/G/TBTN25/TPKM581A1.docx")</f>
        <v>https://docs.wto.org/imrd/directdoc.asp?DDFDocuments/v/G/TBTN25/TPKM581A1.docx</v>
      </c>
      <c r="U162" t="s">
        <v>46</v>
      </c>
      <c r="V162" t="s">
        <v>46</v>
      </c>
      <c r="W162" t="s">
        <v>46</v>
      </c>
      <c r="X162" t="s">
        <v>46</v>
      </c>
      <c r="Y162" t="s">
        <v>46</v>
      </c>
      <c r="Z162" t="s">
        <v>46</v>
      </c>
      <c r="AA162" t="s">
        <v>46</v>
      </c>
      <c r="AB162" s="2" t="s">
        <v>43</v>
      </c>
      <c r="AC162" t="s">
        <v>43</v>
      </c>
      <c r="AD162" t="s">
        <v>43</v>
      </c>
      <c r="AE162" t="s">
        <v>43</v>
      </c>
      <c r="AF162" t="s">
        <v>43</v>
      </c>
      <c r="AG162" t="s">
        <v>43</v>
      </c>
      <c r="AH162" s="2" t="s">
        <v>43</v>
      </c>
    </row>
    <row r="163" spans="1:34" ht="270">
      <c r="A163" s="6" t="s">
        <v>390</v>
      </c>
      <c r="B163" s="7">
        <v>46091</v>
      </c>
      <c r="C163" s="9" t="str">
        <f>HYPERLINK("https://eping.wto.org/en/Search?viewData= G/TBT/N/TZA/1525"," G/TBT/N/TZA/1525")</f>
        <v xml:space="preserve"> G/TBT/N/TZA/1525</v>
      </c>
      <c r="D163" s="8" t="s">
        <v>926</v>
      </c>
      <c r="E163" s="8" t="s">
        <v>927</v>
      </c>
      <c r="F163" s="8" t="s">
        <v>928</v>
      </c>
      <c r="G163" s="8" t="s">
        <v>929</v>
      </c>
      <c r="H163" s="8" t="s">
        <v>896</v>
      </c>
      <c r="I163" s="8" t="s">
        <v>684</v>
      </c>
      <c r="J163" s="8" t="s">
        <v>43</v>
      </c>
      <c r="K163" s="8" t="s">
        <v>240</v>
      </c>
      <c r="L163" s="6"/>
      <c r="M163" s="7">
        <v>46151</v>
      </c>
      <c r="N163" s="7" t="s">
        <v>79</v>
      </c>
      <c r="O163" s="7" t="s">
        <v>79</v>
      </c>
      <c r="P163" s="6" t="s">
        <v>62</v>
      </c>
      <c r="Q163" s="8" t="s">
        <v>930</v>
      </c>
      <c r="R163" t="str">
        <f>HYPERLINK("https://docs.wto.org/imrd/directdoc.asp?DDFDocuments/t/G/TBTN26/TZA1525.docx", "https://docs.wto.org/imrd/directdoc.asp?DDFDocuments/t/G/TBTN26/TZA1525.docx")</f>
        <v>https://docs.wto.org/imrd/directdoc.asp?DDFDocuments/t/G/TBTN26/TZA1525.docx</v>
      </c>
      <c r="S163" t="str">
        <f>HYPERLINK("https://docs.wto.org/imrd/directdoc.asp?DDFDocuments/u/G/TBTN26/TZA1525.docx", "https://docs.wto.org/imrd/directdoc.asp?DDFDocuments/u/G/TBTN26/TZA1525.docx")</f>
        <v>https://docs.wto.org/imrd/directdoc.asp?DDFDocuments/u/G/TBTN26/TZA1525.docx</v>
      </c>
      <c r="T163" t="str">
        <f>HYPERLINK("https://docs.wto.org/imrd/directdoc.asp?DDFDocuments/v/G/TBTN26/TZA1525.docx", "https://docs.wto.org/imrd/directdoc.asp?DDFDocuments/v/G/TBTN26/TZA1525.docx")</f>
        <v>https://docs.wto.org/imrd/directdoc.asp?DDFDocuments/v/G/TBTN26/TZA1525.docx</v>
      </c>
      <c r="U163" t="s">
        <v>64</v>
      </c>
      <c r="V163" t="s">
        <v>46</v>
      </c>
      <c r="W163" t="s">
        <v>46</v>
      </c>
      <c r="X163" t="s">
        <v>46</v>
      </c>
      <c r="Y163" t="s">
        <v>46</v>
      </c>
      <c r="Z163" t="s">
        <v>46</v>
      </c>
      <c r="AA163" t="s">
        <v>46</v>
      </c>
      <c r="AB163" s="2" t="s">
        <v>931</v>
      </c>
      <c r="AC163" t="s">
        <v>43</v>
      </c>
      <c r="AD163" t="s">
        <v>43</v>
      </c>
      <c r="AE163" t="s">
        <v>43</v>
      </c>
      <c r="AF163" t="s">
        <v>43</v>
      </c>
      <c r="AG163" t="s">
        <v>43</v>
      </c>
      <c r="AH163" s="2" t="s">
        <v>43</v>
      </c>
    </row>
    <row r="164" spans="1:34" ht="60">
      <c r="A164" s="6" t="s">
        <v>390</v>
      </c>
      <c r="B164" s="7">
        <v>46091</v>
      </c>
      <c r="C164" s="9" t="str">
        <f>HYPERLINK("https://eping.wto.org/en/Search?viewData= G/SPS/N/TZA/508"," G/SPS/N/TZA/508")</f>
        <v xml:space="preserve"> G/SPS/N/TZA/508</v>
      </c>
      <c r="D164" s="8" t="s">
        <v>932</v>
      </c>
      <c r="E164" s="8" t="s">
        <v>933</v>
      </c>
      <c r="F164" s="8" t="s">
        <v>934</v>
      </c>
      <c r="G164" s="8" t="s">
        <v>935</v>
      </c>
      <c r="H164" s="8" t="s">
        <v>936</v>
      </c>
      <c r="I164" s="8" t="s">
        <v>58</v>
      </c>
      <c r="J164" s="8" t="s">
        <v>43</v>
      </c>
      <c r="K164" s="8" t="s">
        <v>310</v>
      </c>
      <c r="L164" s="6" t="s">
        <v>43</v>
      </c>
      <c r="M164" s="7">
        <v>46151</v>
      </c>
      <c r="N164" s="7" t="s">
        <v>396</v>
      </c>
      <c r="O164" s="7" t="s">
        <v>304</v>
      </c>
      <c r="P164" s="6" t="s">
        <v>62</v>
      </c>
      <c r="Q164" s="8" t="s">
        <v>937</v>
      </c>
      <c r="R164" t="str">
        <f>HYPERLINK("https://docs.wto.org/imrd/directdoc.asp?DDFDocuments/t/G/SPS/NTZA508.docx", "https://docs.wto.org/imrd/directdoc.asp?DDFDocuments/t/G/SPS/NTZA508.docx")</f>
        <v>https://docs.wto.org/imrd/directdoc.asp?DDFDocuments/t/G/SPS/NTZA508.docx</v>
      </c>
      <c r="S164" t="str">
        <f>HYPERLINK("https://docs.wto.org/imrd/directdoc.asp?DDFDocuments/u/G/SPS/NTZA508.docx", "https://docs.wto.org/imrd/directdoc.asp?DDFDocuments/u/G/SPS/NTZA508.docx")</f>
        <v>https://docs.wto.org/imrd/directdoc.asp?DDFDocuments/u/G/SPS/NTZA508.docx</v>
      </c>
      <c r="T164" t="str">
        <f>HYPERLINK("https://docs.wto.org/imrd/directdoc.asp?DDFDocuments/v/G/SPS/NTZA508.docx", "https://docs.wto.org/imrd/directdoc.asp?DDFDocuments/v/G/SPS/NTZA508.docx")</f>
        <v>https://docs.wto.org/imrd/directdoc.asp?DDFDocuments/v/G/SPS/NTZA508.docx</v>
      </c>
      <c r="U164" t="s">
        <v>43</v>
      </c>
      <c r="V164" t="s">
        <v>43</v>
      </c>
      <c r="W164" t="s">
        <v>43</v>
      </c>
      <c r="X164" t="s">
        <v>43</v>
      </c>
      <c r="Y164" t="s">
        <v>43</v>
      </c>
      <c r="Z164" t="s">
        <v>43</v>
      </c>
      <c r="AA164" t="s">
        <v>43</v>
      </c>
      <c r="AB164" s="2" t="s">
        <v>43</v>
      </c>
      <c r="AC164" t="s">
        <v>46</v>
      </c>
      <c r="AD164" t="s">
        <v>46</v>
      </c>
      <c r="AE164" t="s">
        <v>46</v>
      </c>
      <c r="AF164" t="s">
        <v>64</v>
      </c>
      <c r="AG164" t="s">
        <v>99</v>
      </c>
      <c r="AH164" s="2" t="s">
        <v>43</v>
      </c>
    </row>
    <row r="165" spans="1:34" ht="240">
      <c r="A165" s="6" t="s">
        <v>249</v>
      </c>
      <c r="B165" s="7">
        <v>46091</v>
      </c>
      <c r="C165" s="9" t="str">
        <f>HYPERLINK("https://eping.wto.org/en/Search?viewData= G/SPS/N/COL/408/Add.1"," G/SPS/N/COL/408/Add.1")</f>
        <v xml:space="preserve"> G/SPS/N/COL/408/Add.1</v>
      </c>
      <c r="D165" s="8" t="s">
        <v>938</v>
      </c>
      <c r="E165" s="8" t="s">
        <v>938</v>
      </c>
      <c r="F165" s="8" t="s">
        <v>939</v>
      </c>
      <c r="G165" s="8" t="s">
        <v>940</v>
      </c>
      <c r="H165" s="8" t="s">
        <v>43</v>
      </c>
      <c r="I165" s="8" t="s">
        <v>254</v>
      </c>
      <c r="J165" s="8" t="s">
        <v>43</v>
      </c>
      <c r="K165" s="8" t="s">
        <v>941</v>
      </c>
      <c r="L165" s="6"/>
      <c r="M165" s="7" t="s">
        <v>43</v>
      </c>
      <c r="N165" s="7"/>
      <c r="O165" s="7"/>
      <c r="P165" s="6" t="s">
        <v>44</v>
      </c>
      <c r="Q165" s="8" t="s">
        <v>942</v>
      </c>
      <c r="R165" t="str">
        <f>HYPERLINK("https://docs.wto.org/imrd/directdoc.asp?DDFDocuments/t/G/SPS/NCOL408A1.docx", "https://docs.wto.org/imrd/directdoc.asp?DDFDocuments/t/G/SPS/NCOL408A1.docx")</f>
        <v>https://docs.wto.org/imrd/directdoc.asp?DDFDocuments/t/G/SPS/NCOL408A1.docx</v>
      </c>
      <c r="S165" t="str">
        <f>HYPERLINK("https://docs.wto.org/imrd/directdoc.asp?DDFDocuments/u/G/SPS/NCOL408A1.docx", "https://docs.wto.org/imrd/directdoc.asp?DDFDocuments/u/G/SPS/NCOL408A1.docx")</f>
        <v>https://docs.wto.org/imrd/directdoc.asp?DDFDocuments/u/G/SPS/NCOL408A1.docx</v>
      </c>
      <c r="T165" t="str">
        <f>HYPERLINK("https://docs.wto.org/imrd/directdoc.asp?DDFDocuments/v/G/SPS/NCOL408A1.docx", "https://docs.wto.org/imrd/directdoc.asp?DDFDocuments/v/G/SPS/NCOL408A1.docx")</f>
        <v>https://docs.wto.org/imrd/directdoc.asp?DDFDocuments/v/G/SPS/NCOL408A1.docx</v>
      </c>
      <c r="U165" t="s">
        <v>43</v>
      </c>
      <c r="V165" t="s">
        <v>43</v>
      </c>
      <c r="W165" t="s">
        <v>43</v>
      </c>
      <c r="X165" t="s">
        <v>43</v>
      </c>
      <c r="Y165" t="s">
        <v>43</v>
      </c>
      <c r="Z165" t="s">
        <v>43</v>
      </c>
      <c r="AA165" t="s">
        <v>43</v>
      </c>
      <c r="AB165" s="2" t="s">
        <v>43</v>
      </c>
      <c r="AC165" t="s">
        <v>43</v>
      </c>
      <c r="AD165" t="s">
        <v>43</v>
      </c>
      <c r="AE165" t="s">
        <v>43</v>
      </c>
      <c r="AF165" t="s">
        <v>43</v>
      </c>
      <c r="AG165" t="s">
        <v>43</v>
      </c>
      <c r="AH165" s="2" t="s">
        <v>43</v>
      </c>
    </row>
    <row r="166" spans="1:34" ht="45">
      <c r="A166" s="6" t="s">
        <v>390</v>
      </c>
      <c r="B166" s="7">
        <v>46091</v>
      </c>
      <c r="C166" s="9" t="str">
        <f>HYPERLINK("https://eping.wto.org/en/Search?viewData= G/SPS/N/TZA/516"," G/SPS/N/TZA/516")</f>
        <v xml:space="preserve"> G/SPS/N/TZA/516</v>
      </c>
      <c r="D166" s="8" t="s">
        <v>943</v>
      </c>
      <c r="E166" s="8" t="s">
        <v>944</v>
      </c>
      <c r="F166" s="8" t="s">
        <v>945</v>
      </c>
      <c r="G166" s="8" t="s">
        <v>946</v>
      </c>
      <c r="H166" s="8" t="s">
        <v>947</v>
      </c>
      <c r="I166" s="8" t="s">
        <v>58</v>
      </c>
      <c r="J166" s="8" t="s">
        <v>43</v>
      </c>
      <c r="K166" s="8" t="s">
        <v>310</v>
      </c>
      <c r="L166" s="6" t="s">
        <v>43</v>
      </c>
      <c r="M166" s="7">
        <v>46151</v>
      </c>
      <c r="N166" s="7" t="s">
        <v>396</v>
      </c>
      <c r="O166" s="7" t="s">
        <v>304</v>
      </c>
      <c r="P166" s="6" t="s">
        <v>62</v>
      </c>
      <c r="Q166" s="8" t="s">
        <v>948</v>
      </c>
      <c r="R166" t="str">
        <f>HYPERLINK("https://docs.wto.org/imrd/directdoc.asp?DDFDocuments/t/G/SPS/NTZA516.docx", "https://docs.wto.org/imrd/directdoc.asp?DDFDocuments/t/G/SPS/NTZA516.docx")</f>
        <v>https://docs.wto.org/imrd/directdoc.asp?DDFDocuments/t/G/SPS/NTZA516.docx</v>
      </c>
      <c r="S166" t="str">
        <f>HYPERLINK("https://docs.wto.org/imrd/directdoc.asp?DDFDocuments/u/G/SPS/NTZA516.docx", "https://docs.wto.org/imrd/directdoc.asp?DDFDocuments/u/G/SPS/NTZA516.docx")</f>
        <v>https://docs.wto.org/imrd/directdoc.asp?DDFDocuments/u/G/SPS/NTZA516.docx</v>
      </c>
      <c r="T166" t="str">
        <f>HYPERLINK("https://docs.wto.org/imrd/directdoc.asp?DDFDocuments/v/G/SPS/NTZA516.docx", "https://docs.wto.org/imrd/directdoc.asp?DDFDocuments/v/G/SPS/NTZA516.docx")</f>
        <v>https://docs.wto.org/imrd/directdoc.asp?DDFDocuments/v/G/SPS/NTZA516.docx</v>
      </c>
      <c r="U166" t="s">
        <v>43</v>
      </c>
      <c r="V166" t="s">
        <v>43</v>
      </c>
      <c r="W166" t="s">
        <v>43</v>
      </c>
      <c r="X166" t="s">
        <v>43</v>
      </c>
      <c r="Y166" t="s">
        <v>43</v>
      </c>
      <c r="Z166" t="s">
        <v>43</v>
      </c>
      <c r="AA166" t="s">
        <v>43</v>
      </c>
      <c r="AB166" s="2" t="s">
        <v>43</v>
      </c>
      <c r="AC166" t="s">
        <v>46</v>
      </c>
      <c r="AD166" t="s">
        <v>46</v>
      </c>
      <c r="AE166" t="s">
        <v>46</v>
      </c>
      <c r="AF166" t="s">
        <v>64</v>
      </c>
      <c r="AG166" t="s">
        <v>99</v>
      </c>
      <c r="AH166" s="2" t="s">
        <v>43</v>
      </c>
    </row>
    <row r="167" spans="1:34" ht="60">
      <c r="A167" s="6" t="s">
        <v>390</v>
      </c>
      <c r="B167" s="7">
        <v>46091</v>
      </c>
      <c r="C167" s="9" t="str">
        <f>HYPERLINK("https://eping.wto.org/en/Search?viewData= G/SPS/N/TZA/507"," G/SPS/N/TZA/507")</f>
        <v xml:space="preserve"> G/SPS/N/TZA/507</v>
      </c>
      <c r="D167" s="8" t="s">
        <v>949</v>
      </c>
      <c r="E167" s="8" t="s">
        <v>950</v>
      </c>
      <c r="F167" s="8" t="s">
        <v>951</v>
      </c>
      <c r="G167" s="8" t="s">
        <v>952</v>
      </c>
      <c r="H167" s="8" t="s">
        <v>953</v>
      </c>
      <c r="I167" s="8" t="s">
        <v>58</v>
      </c>
      <c r="J167" s="8" t="s">
        <v>43</v>
      </c>
      <c r="K167" s="8" t="s">
        <v>310</v>
      </c>
      <c r="L167" s="6" t="s">
        <v>43</v>
      </c>
      <c r="M167" s="7">
        <v>46151</v>
      </c>
      <c r="N167" s="7" t="s">
        <v>396</v>
      </c>
      <c r="O167" s="7" t="s">
        <v>304</v>
      </c>
      <c r="P167" s="6" t="s">
        <v>62</v>
      </c>
      <c r="Q167" s="8" t="s">
        <v>954</v>
      </c>
      <c r="R167" t="str">
        <f>HYPERLINK("https://docs.wto.org/imrd/directdoc.asp?DDFDocuments/t/G/SPS/NTZA507.docx", "https://docs.wto.org/imrd/directdoc.asp?DDFDocuments/t/G/SPS/NTZA507.docx")</f>
        <v>https://docs.wto.org/imrd/directdoc.asp?DDFDocuments/t/G/SPS/NTZA507.docx</v>
      </c>
      <c r="S167" t="str">
        <f>HYPERLINK("https://docs.wto.org/imrd/directdoc.asp?DDFDocuments/u/G/SPS/NTZA507.docx", "https://docs.wto.org/imrd/directdoc.asp?DDFDocuments/u/G/SPS/NTZA507.docx")</f>
        <v>https://docs.wto.org/imrd/directdoc.asp?DDFDocuments/u/G/SPS/NTZA507.docx</v>
      </c>
      <c r="T167" t="str">
        <f>HYPERLINK("https://docs.wto.org/imrd/directdoc.asp?DDFDocuments/v/G/SPS/NTZA507.docx", "https://docs.wto.org/imrd/directdoc.asp?DDFDocuments/v/G/SPS/NTZA507.docx")</f>
        <v>https://docs.wto.org/imrd/directdoc.asp?DDFDocuments/v/G/SPS/NTZA507.docx</v>
      </c>
      <c r="U167" t="s">
        <v>43</v>
      </c>
      <c r="V167" t="s">
        <v>43</v>
      </c>
      <c r="W167" t="s">
        <v>43</v>
      </c>
      <c r="X167" t="s">
        <v>43</v>
      </c>
      <c r="Y167" t="s">
        <v>43</v>
      </c>
      <c r="Z167" t="s">
        <v>43</v>
      </c>
      <c r="AA167" t="s">
        <v>43</v>
      </c>
      <c r="AB167" s="2" t="s">
        <v>43</v>
      </c>
      <c r="AC167" t="s">
        <v>46</v>
      </c>
      <c r="AD167" t="s">
        <v>46</v>
      </c>
      <c r="AE167" t="s">
        <v>46</v>
      </c>
      <c r="AF167" t="s">
        <v>64</v>
      </c>
      <c r="AG167" t="s">
        <v>99</v>
      </c>
      <c r="AH167" s="2" t="s">
        <v>43</v>
      </c>
    </row>
    <row r="168" spans="1:34" ht="135">
      <c r="A168" s="6" t="s">
        <v>146</v>
      </c>
      <c r="B168" s="7">
        <v>46091</v>
      </c>
      <c r="C168" s="9" t="str">
        <f>HYPERLINK("https://eping.wto.org/en/Search?viewData= G/SPS/N/CHL/859/Add.1"," G/SPS/N/CHL/859/Add.1")</f>
        <v xml:space="preserve"> G/SPS/N/CHL/859/Add.1</v>
      </c>
      <c r="D168" s="8" t="s">
        <v>955</v>
      </c>
      <c r="E168" s="8" t="s">
        <v>955</v>
      </c>
      <c r="F168" s="8" t="s">
        <v>956</v>
      </c>
      <c r="G168" s="8" t="s">
        <v>957</v>
      </c>
      <c r="H168" s="8" t="s">
        <v>43</v>
      </c>
      <c r="I168" s="8" t="s">
        <v>104</v>
      </c>
      <c r="J168" s="8" t="s">
        <v>43</v>
      </c>
      <c r="K168" s="8" t="s">
        <v>958</v>
      </c>
      <c r="L168" s="6"/>
      <c r="M168" s="7" t="s">
        <v>43</v>
      </c>
      <c r="N168" s="7"/>
      <c r="O168" s="7"/>
      <c r="P168" s="6" t="s">
        <v>44</v>
      </c>
      <c r="Q168" s="8" t="s">
        <v>959</v>
      </c>
      <c r="R168" t="str">
        <f>HYPERLINK("https://docs.wto.org/imrd/directdoc.asp?DDFDocuments/t/G/SPS/NCHL859A1.docx", "https://docs.wto.org/imrd/directdoc.asp?DDFDocuments/t/G/SPS/NCHL859A1.docx")</f>
        <v>https://docs.wto.org/imrd/directdoc.asp?DDFDocuments/t/G/SPS/NCHL859A1.docx</v>
      </c>
      <c r="S168" t="str">
        <f>HYPERLINK("https://docs.wto.org/imrd/directdoc.asp?DDFDocuments/u/G/SPS/NCHL859A1.docx", "https://docs.wto.org/imrd/directdoc.asp?DDFDocuments/u/G/SPS/NCHL859A1.docx")</f>
        <v>https://docs.wto.org/imrd/directdoc.asp?DDFDocuments/u/G/SPS/NCHL859A1.docx</v>
      </c>
      <c r="T168" t="str">
        <f>HYPERLINK("https://docs.wto.org/imrd/directdoc.asp?DDFDocuments/v/G/SPS/NCHL859A1.docx", "https://docs.wto.org/imrd/directdoc.asp?DDFDocuments/v/G/SPS/NCHL859A1.docx")</f>
        <v>https://docs.wto.org/imrd/directdoc.asp?DDFDocuments/v/G/SPS/NCHL859A1.docx</v>
      </c>
      <c r="U168" t="s">
        <v>43</v>
      </c>
      <c r="V168" t="s">
        <v>43</v>
      </c>
      <c r="W168" t="s">
        <v>43</v>
      </c>
      <c r="X168" t="s">
        <v>43</v>
      </c>
      <c r="Y168" t="s">
        <v>43</v>
      </c>
      <c r="Z168" t="s">
        <v>43</v>
      </c>
      <c r="AA168" t="s">
        <v>43</v>
      </c>
      <c r="AB168" s="2" t="s">
        <v>43</v>
      </c>
      <c r="AC168" t="s">
        <v>43</v>
      </c>
      <c r="AD168" t="s">
        <v>43</v>
      </c>
      <c r="AE168" t="s">
        <v>43</v>
      </c>
      <c r="AF168" t="s">
        <v>43</v>
      </c>
      <c r="AG168" t="s">
        <v>43</v>
      </c>
      <c r="AH168" s="2" t="s">
        <v>43</v>
      </c>
    </row>
    <row r="169" spans="1:34" ht="60">
      <c r="A169" s="6" t="s">
        <v>390</v>
      </c>
      <c r="B169" s="7">
        <v>46091</v>
      </c>
      <c r="C169" s="9" t="str">
        <f>HYPERLINK("https://eping.wto.org/en/Search?viewData= G/SPS/N/TZA/510"," G/SPS/N/TZA/510")</f>
        <v xml:space="preserve"> G/SPS/N/TZA/510</v>
      </c>
      <c r="D169" s="8" t="s">
        <v>960</v>
      </c>
      <c r="E169" s="8" t="s">
        <v>961</v>
      </c>
      <c r="F169" s="8" t="s">
        <v>928</v>
      </c>
      <c r="G169" s="8" t="s">
        <v>929</v>
      </c>
      <c r="H169" s="8" t="s">
        <v>896</v>
      </c>
      <c r="I169" s="8" t="s">
        <v>58</v>
      </c>
      <c r="J169" s="8" t="s">
        <v>43</v>
      </c>
      <c r="K169" s="8" t="s">
        <v>310</v>
      </c>
      <c r="L169" s="6" t="s">
        <v>43</v>
      </c>
      <c r="M169" s="7">
        <v>46151</v>
      </c>
      <c r="N169" s="7" t="s">
        <v>396</v>
      </c>
      <c r="O169" s="7" t="s">
        <v>304</v>
      </c>
      <c r="P169" s="6" t="s">
        <v>62</v>
      </c>
      <c r="Q169" s="8" t="s">
        <v>962</v>
      </c>
      <c r="R169" t="str">
        <f>HYPERLINK("https://docs.wto.org/imrd/directdoc.asp?DDFDocuments/t/G/SPS/NTZA510.docx", "https://docs.wto.org/imrd/directdoc.asp?DDFDocuments/t/G/SPS/NTZA510.docx")</f>
        <v>https://docs.wto.org/imrd/directdoc.asp?DDFDocuments/t/G/SPS/NTZA510.docx</v>
      </c>
      <c r="S169" t="str">
        <f>HYPERLINK("https://docs.wto.org/imrd/directdoc.asp?DDFDocuments/u/G/SPS/NTZA510.docx", "https://docs.wto.org/imrd/directdoc.asp?DDFDocuments/u/G/SPS/NTZA510.docx")</f>
        <v>https://docs.wto.org/imrd/directdoc.asp?DDFDocuments/u/G/SPS/NTZA510.docx</v>
      </c>
      <c r="T169" t="str">
        <f>HYPERLINK("https://docs.wto.org/imrd/directdoc.asp?DDFDocuments/v/G/SPS/NTZA510.docx", "https://docs.wto.org/imrd/directdoc.asp?DDFDocuments/v/G/SPS/NTZA510.docx")</f>
        <v>https://docs.wto.org/imrd/directdoc.asp?DDFDocuments/v/G/SPS/NTZA510.docx</v>
      </c>
      <c r="U169" t="s">
        <v>43</v>
      </c>
      <c r="V169" t="s">
        <v>43</v>
      </c>
      <c r="W169" t="s">
        <v>43</v>
      </c>
      <c r="X169" t="s">
        <v>43</v>
      </c>
      <c r="Y169" t="s">
        <v>43</v>
      </c>
      <c r="Z169" t="s">
        <v>43</v>
      </c>
      <c r="AA169" t="s">
        <v>43</v>
      </c>
      <c r="AB169" s="2" t="s">
        <v>43</v>
      </c>
      <c r="AC169" t="s">
        <v>46</v>
      </c>
      <c r="AD169" t="s">
        <v>46</v>
      </c>
      <c r="AE169" t="s">
        <v>46</v>
      </c>
      <c r="AF169" t="s">
        <v>64</v>
      </c>
      <c r="AG169" t="s">
        <v>99</v>
      </c>
      <c r="AH169" s="2" t="s">
        <v>43</v>
      </c>
    </row>
    <row r="170" spans="1:34" ht="285">
      <c r="A170" s="6" t="s">
        <v>390</v>
      </c>
      <c r="B170" s="7">
        <v>46091</v>
      </c>
      <c r="C170" s="9" t="str">
        <f>HYPERLINK("https://eping.wto.org/en/Search?viewData= G/TBT/N/TZA/1531"," G/TBT/N/TZA/1531")</f>
        <v xml:space="preserve"> G/TBT/N/TZA/1531</v>
      </c>
      <c r="D170" s="8" t="s">
        <v>963</v>
      </c>
      <c r="E170" s="8" t="s">
        <v>964</v>
      </c>
      <c r="F170" s="8" t="s">
        <v>928</v>
      </c>
      <c r="G170" s="8" t="s">
        <v>929</v>
      </c>
      <c r="H170" s="8" t="s">
        <v>896</v>
      </c>
      <c r="I170" s="8" t="s">
        <v>684</v>
      </c>
      <c r="J170" s="8" t="s">
        <v>43</v>
      </c>
      <c r="K170" s="8" t="s">
        <v>240</v>
      </c>
      <c r="L170" s="6"/>
      <c r="M170" s="7">
        <v>46151</v>
      </c>
      <c r="N170" s="7" t="s">
        <v>79</v>
      </c>
      <c r="O170" s="7" t="s">
        <v>79</v>
      </c>
      <c r="P170" s="6" t="s">
        <v>62</v>
      </c>
      <c r="Q170" s="8" t="s">
        <v>965</v>
      </c>
      <c r="R170" t="str">
        <f>HYPERLINK("https://docs.wto.org/imrd/directdoc.asp?DDFDocuments/t/G/TBTN26/TZA1531.docx", "https://docs.wto.org/imrd/directdoc.asp?DDFDocuments/t/G/TBTN26/TZA1531.docx")</f>
        <v>https://docs.wto.org/imrd/directdoc.asp?DDFDocuments/t/G/TBTN26/TZA1531.docx</v>
      </c>
      <c r="S170" t="str">
        <f>HYPERLINK("https://docs.wto.org/imrd/directdoc.asp?DDFDocuments/u/G/TBTN26/TZA1531.docx", "https://docs.wto.org/imrd/directdoc.asp?DDFDocuments/u/G/TBTN26/TZA1531.docx")</f>
        <v>https://docs.wto.org/imrd/directdoc.asp?DDFDocuments/u/G/TBTN26/TZA1531.docx</v>
      </c>
      <c r="T170" t="str">
        <f>HYPERLINK("https://docs.wto.org/imrd/directdoc.asp?DDFDocuments/v/G/TBTN26/TZA1531.docx", "https://docs.wto.org/imrd/directdoc.asp?DDFDocuments/v/G/TBTN26/TZA1531.docx")</f>
        <v>https://docs.wto.org/imrd/directdoc.asp?DDFDocuments/v/G/TBTN26/TZA1531.docx</v>
      </c>
      <c r="U170" t="s">
        <v>64</v>
      </c>
      <c r="V170" t="s">
        <v>46</v>
      </c>
      <c r="W170" t="s">
        <v>46</v>
      </c>
      <c r="X170" t="s">
        <v>46</v>
      </c>
      <c r="Y170" t="s">
        <v>46</v>
      </c>
      <c r="Z170" t="s">
        <v>46</v>
      </c>
      <c r="AA170" t="s">
        <v>46</v>
      </c>
      <c r="AB170" s="2" t="s">
        <v>966</v>
      </c>
      <c r="AC170" t="s">
        <v>43</v>
      </c>
      <c r="AD170" t="s">
        <v>43</v>
      </c>
      <c r="AE170" t="s">
        <v>43</v>
      </c>
      <c r="AF170" t="s">
        <v>43</v>
      </c>
      <c r="AG170" t="s">
        <v>43</v>
      </c>
      <c r="AH170" s="2" t="s">
        <v>43</v>
      </c>
    </row>
    <row r="171" spans="1:34" ht="195">
      <c r="A171" s="6" t="s">
        <v>390</v>
      </c>
      <c r="B171" s="7">
        <v>46091</v>
      </c>
      <c r="C171" s="9" t="str">
        <f>HYPERLINK("https://eping.wto.org/en/Search?viewData= G/TBT/N/TZA/1527"," G/TBT/N/TZA/1527")</f>
        <v xml:space="preserve"> G/TBT/N/TZA/1527</v>
      </c>
      <c r="D171" s="8" t="s">
        <v>967</v>
      </c>
      <c r="E171" s="8" t="s">
        <v>968</v>
      </c>
      <c r="F171" s="8" t="s">
        <v>969</v>
      </c>
      <c r="G171" s="8" t="s">
        <v>970</v>
      </c>
      <c r="H171" s="8" t="s">
        <v>936</v>
      </c>
      <c r="I171" s="8" t="s">
        <v>684</v>
      </c>
      <c r="J171" s="8" t="s">
        <v>43</v>
      </c>
      <c r="K171" s="8" t="s">
        <v>240</v>
      </c>
      <c r="L171" s="6"/>
      <c r="M171" s="7">
        <v>46151</v>
      </c>
      <c r="N171" s="7" t="s">
        <v>79</v>
      </c>
      <c r="O171" s="7" t="s">
        <v>79</v>
      </c>
      <c r="P171" s="6" t="s">
        <v>62</v>
      </c>
      <c r="Q171" s="8" t="s">
        <v>971</v>
      </c>
      <c r="R171" t="str">
        <f>HYPERLINK("https://docs.wto.org/imrd/directdoc.asp?DDFDocuments/t/G/TBTN26/TZA1527.docx", "https://docs.wto.org/imrd/directdoc.asp?DDFDocuments/t/G/TBTN26/TZA1527.docx")</f>
        <v>https://docs.wto.org/imrd/directdoc.asp?DDFDocuments/t/G/TBTN26/TZA1527.docx</v>
      </c>
      <c r="S171" t="str">
        <f>HYPERLINK("https://docs.wto.org/imrd/directdoc.asp?DDFDocuments/u/G/TBTN26/TZA1527.docx", "https://docs.wto.org/imrd/directdoc.asp?DDFDocuments/u/G/TBTN26/TZA1527.docx")</f>
        <v>https://docs.wto.org/imrd/directdoc.asp?DDFDocuments/u/G/TBTN26/TZA1527.docx</v>
      </c>
      <c r="T171" t="str">
        <f>HYPERLINK("https://docs.wto.org/imrd/directdoc.asp?DDFDocuments/v/G/TBTN26/TZA1527.docx", "https://docs.wto.org/imrd/directdoc.asp?DDFDocuments/v/G/TBTN26/TZA1527.docx")</f>
        <v>https://docs.wto.org/imrd/directdoc.asp?DDFDocuments/v/G/TBTN26/TZA1527.docx</v>
      </c>
      <c r="U171" t="s">
        <v>64</v>
      </c>
      <c r="V171" t="s">
        <v>46</v>
      </c>
      <c r="W171" t="s">
        <v>46</v>
      </c>
      <c r="X171" t="s">
        <v>46</v>
      </c>
      <c r="Y171" t="s">
        <v>46</v>
      </c>
      <c r="Z171" t="s">
        <v>46</v>
      </c>
      <c r="AA171" t="s">
        <v>46</v>
      </c>
      <c r="AB171" s="2" t="s">
        <v>972</v>
      </c>
      <c r="AC171" t="s">
        <v>43</v>
      </c>
      <c r="AD171" t="s">
        <v>43</v>
      </c>
      <c r="AE171" t="s">
        <v>43</v>
      </c>
      <c r="AF171" t="s">
        <v>43</v>
      </c>
      <c r="AG171" t="s">
        <v>43</v>
      </c>
      <c r="AH171" s="2" t="s">
        <v>43</v>
      </c>
    </row>
    <row r="172" spans="1:34" ht="45">
      <c r="A172" s="6" t="s">
        <v>390</v>
      </c>
      <c r="B172" s="7">
        <v>46091</v>
      </c>
      <c r="C172" s="9" t="str">
        <f>HYPERLINK("https://eping.wto.org/en/Search?viewData= G/SPS/N/TZA/509"," G/SPS/N/TZA/509")</f>
        <v xml:space="preserve"> G/SPS/N/TZA/509</v>
      </c>
      <c r="D172" s="8" t="s">
        <v>973</v>
      </c>
      <c r="E172" s="8" t="s">
        <v>974</v>
      </c>
      <c r="F172" s="8" t="s">
        <v>928</v>
      </c>
      <c r="G172" s="8" t="s">
        <v>929</v>
      </c>
      <c r="H172" s="8" t="s">
        <v>896</v>
      </c>
      <c r="I172" s="8" t="s">
        <v>58</v>
      </c>
      <c r="J172" s="8" t="s">
        <v>43</v>
      </c>
      <c r="K172" s="8" t="s">
        <v>157</v>
      </c>
      <c r="L172" s="6" t="s">
        <v>43</v>
      </c>
      <c r="M172" s="7">
        <v>46151</v>
      </c>
      <c r="N172" s="7" t="s">
        <v>396</v>
      </c>
      <c r="O172" s="7" t="s">
        <v>304</v>
      </c>
      <c r="P172" s="6" t="s">
        <v>62</v>
      </c>
      <c r="Q172" s="8" t="s">
        <v>975</v>
      </c>
      <c r="R172" t="str">
        <f>HYPERLINK("https://docs.wto.org/imrd/directdoc.asp?DDFDocuments/t/G/SPS/NTZA509.docx", "https://docs.wto.org/imrd/directdoc.asp?DDFDocuments/t/G/SPS/NTZA509.docx")</f>
        <v>https://docs.wto.org/imrd/directdoc.asp?DDFDocuments/t/G/SPS/NTZA509.docx</v>
      </c>
      <c r="S172" t="str">
        <f>HYPERLINK("https://docs.wto.org/imrd/directdoc.asp?DDFDocuments/u/G/SPS/NTZA509.docx", "https://docs.wto.org/imrd/directdoc.asp?DDFDocuments/u/G/SPS/NTZA509.docx")</f>
        <v>https://docs.wto.org/imrd/directdoc.asp?DDFDocuments/u/G/SPS/NTZA509.docx</v>
      </c>
      <c r="T172" t="str">
        <f>HYPERLINK("https://docs.wto.org/imrd/directdoc.asp?DDFDocuments/v/G/SPS/NTZA509.docx", "https://docs.wto.org/imrd/directdoc.asp?DDFDocuments/v/G/SPS/NTZA509.docx")</f>
        <v>https://docs.wto.org/imrd/directdoc.asp?DDFDocuments/v/G/SPS/NTZA509.docx</v>
      </c>
      <c r="U172" t="s">
        <v>43</v>
      </c>
      <c r="V172" t="s">
        <v>43</v>
      </c>
      <c r="W172" t="s">
        <v>43</v>
      </c>
      <c r="X172" t="s">
        <v>43</v>
      </c>
      <c r="Y172" t="s">
        <v>43</v>
      </c>
      <c r="Z172" t="s">
        <v>43</v>
      </c>
      <c r="AA172" t="s">
        <v>43</v>
      </c>
      <c r="AB172" s="2" t="s">
        <v>43</v>
      </c>
      <c r="AC172" t="s">
        <v>46</v>
      </c>
      <c r="AD172" t="s">
        <v>46</v>
      </c>
      <c r="AE172" t="s">
        <v>46</v>
      </c>
      <c r="AF172" t="s">
        <v>64</v>
      </c>
      <c r="AG172" t="s">
        <v>99</v>
      </c>
      <c r="AH172" s="2" t="s">
        <v>43</v>
      </c>
    </row>
    <row r="173" spans="1:34" ht="60">
      <c r="A173" s="6" t="s">
        <v>390</v>
      </c>
      <c r="B173" s="7">
        <v>46091</v>
      </c>
      <c r="C173" s="9" t="str">
        <f>HYPERLINK("https://eping.wto.org/en/Search?viewData= G/SPS/N/TZA/513"," G/SPS/N/TZA/513")</f>
        <v xml:space="preserve"> G/SPS/N/TZA/513</v>
      </c>
      <c r="D173" s="8" t="s">
        <v>976</v>
      </c>
      <c r="E173" s="8" t="s">
        <v>977</v>
      </c>
      <c r="F173" s="8" t="s">
        <v>928</v>
      </c>
      <c r="G173" s="8" t="s">
        <v>978</v>
      </c>
      <c r="H173" s="8" t="s">
        <v>896</v>
      </c>
      <c r="I173" s="8" t="s">
        <v>58</v>
      </c>
      <c r="J173" s="8" t="s">
        <v>43</v>
      </c>
      <c r="K173" s="8" t="s">
        <v>310</v>
      </c>
      <c r="L173" s="6" t="s">
        <v>43</v>
      </c>
      <c r="M173" s="7">
        <v>46151</v>
      </c>
      <c r="N173" s="7" t="s">
        <v>396</v>
      </c>
      <c r="O173" s="7" t="s">
        <v>304</v>
      </c>
      <c r="P173" s="6" t="s">
        <v>62</v>
      </c>
      <c r="Q173" s="8" t="s">
        <v>979</v>
      </c>
      <c r="R173" t="str">
        <f>HYPERLINK("https://docs.wto.org/imrd/directdoc.asp?DDFDocuments/t/G/SPS/NTZA513.docx", "https://docs.wto.org/imrd/directdoc.asp?DDFDocuments/t/G/SPS/NTZA513.docx")</f>
        <v>https://docs.wto.org/imrd/directdoc.asp?DDFDocuments/t/G/SPS/NTZA513.docx</v>
      </c>
      <c r="S173" t="str">
        <f>HYPERLINK("https://docs.wto.org/imrd/directdoc.asp?DDFDocuments/u/G/SPS/NTZA513.docx", "https://docs.wto.org/imrd/directdoc.asp?DDFDocuments/u/G/SPS/NTZA513.docx")</f>
        <v>https://docs.wto.org/imrd/directdoc.asp?DDFDocuments/u/G/SPS/NTZA513.docx</v>
      </c>
      <c r="T173" t="str">
        <f>HYPERLINK("https://docs.wto.org/imrd/directdoc.asp?DDFDocuments/v/G/SPS/NTZA513.docx", "https://docs.wto.org/imrd/directdoc.asp?DDFDocuments/v/G/SPS/NTZA513.docx")</f>
        <v>https://docs.wto.org/imrd/directdoc.asp?DDFDocuments/v/G/SPS/NTZA513.docx</v>
      </c>
      <c r="U173" t="s">
        <v>43</v>
      </c>
      <c r="V173" t="s">
        <v>43</v>
      </c>
      <c r="W173" t="s">
        <v>43</v>
      </c>
      <c r="X173" t="s">
        <v>43</v>
      </c>
      <c r="Y173" t="s">
        <v>43</v>
      </c>
      <c r="Z173" t="s">
        <v>43</v>
      </c>
      <c r="AA173" t="s">
        <v>43</v>
      </c>
      <c r="AB173" s="2" t="s">
        <v>43</v>
      </c>
      <c r="AC173" t="s">
        <v>46</v>
      </c>
      <c r="AD173" t="s">
        <v>46</v>
      </c>
      <c r="AE173" t="s">
        <v>46</v>
      </c>
      <c r="AF173" t="s">
        <v>64</v>
      </c>
      <c r="AG173" t="s">
        <v>99</v>
      </c>
      <c r="AH173" s="2" t="s">
        <v>43</v>
      </c>
    </row>
    <row r="174" spans="1:34" ht="270">
      <c r="A174" s="6" t="s">
        <v>390</v>
      </c>
      <c r="B174" s="7">
        <v>46091</v>
      </c>
      <c r="C174" s="9" t="str">
        <f>HYPERLINK("https://eping.wto.org/en/Search?viewData= G/TBT/N/TZA/1532"," G/TBT/N/TZA/1532")</f>
        <v xml:space="preserve"> G/TBT/N/TZA/1532</v>
      </c>
      <c r="D174" s="8" t="s">
        <v>980</v>
      </c>
      <c r="E174" s="8" t="s">
        <v>981</v>
      </c>
      <c r="F174" s="8" t="s">
        <v>945</v>
      </c>
      <c r="G174" s="8" t="s">
        <v>946</v>
      </c>
      <c r="H174" s="8" t="s">
        <v>947</v>
      </c>
      <c r="I174" s="8" t="s">
        <v>684</v>
      </c>
      <c r="J174" s="8" t="s">
        <v>43</v>
      </c>
      <c r="K174" s="8" t="s">
        <v>240</v>
      </c>
      <c r="L174" s="6"/>
      <c r="M174" s="7">
        <v>46151</v>
      </c>
      <c r="N174" s="7" t="s">
        <v>79</v>
      </c>
      <c r="O174" s="7" t="s">
        <v>79</v>
      </c>
      <c r="P174" s="6" t="s">
        <v>62</v>
      </c>
      <c r="Q174" s="8" t="s">
        <v>982</v>
      </c>
      <c r="R174" t="str">
        <f>HYPERLINK("https://docs.wto.org/imrd/directdoc.asp?DDFDocuments/t/G/TBTN26/TZA1532.docx", "https://docs.wto.org/imrd/directdoc.asp?DDFDocuments/t/G/TBTN26/TZA1532.docx")</f>
        <v>https://docs.wto.org/imrd/directdoc.asp?DDFDocuments/t/G/TBTN26/TZA1532.docx</v>
      </c>
      <c r="S174" t="str">
        <f>HYPERLINK("https://docs.wto.org/imrd/directdoc.asp?DDFDocuments/u/G/TBTN26/TZA1532.docx", "https://docs.wto.org/imrd/directdoc.asp?DDFDocuments/u/G/TBTN26/TZA1532.docx")</f>
        <v>https://docs.wto.org/imrd/directdoc.asp?DDFDocuments/u/G/TBTN26/TZA1532.docx</v>
      </c>
      <c r="T174" t="str">
        <f>HYPERLINK("https://docs.wto.org/imrd/directdoc.asp?DDFDocuments/v/G/TBTN26/TZA1532.docx", "https://docs.wto.org/imrd/directdoc.asp?DDFDocuments/v/G/TBTN26/TZA1532.docx")</f>
        <v>https://docs.wto.org/imrd/directdoc.asp?DDFDocuments/v/G/TBTN26/TZA1532.docx</v>
      </c>
      <c r="U174" t="s">
        <v>64</v>
      </c>
      <c r="V174" t="s">
        <v>46</v>
      </c>
      <c r="W174" t="s">
        <v>46</v>
      </c>
      <c r="X174" t="s">
        <v>46</v>
      </c>
      <c r="Y174" t="s">
        <v>46</v>
      </c>
      <c r="Z174" t="s">
        <v>46</v>
      </c>
      <c r="AA174" t="s">
        <v>46</v>
      </c>
      <c r="AB174" s="2" t="s">
        <v>983</v>
      </c>
      <c r="AC174" t="s">
        <v>43</v>
      </c>
      <c r="AD174" t="s">
        <v>43</v>
      </c>
      <c r="AE174" t="s">
        <v>43</v>
      </c>
      <c r="AF174" t="s">
        <v>43</v>
      </c>
      <c r="AG174" t="s">
        <v>43</v>
      </c>
      <c r="AH174" s="2" t="s">
        <v>43</v>
      </c>
    </row>
    <row r="175" spans="1:34" ht="255">
      <c r="A175" s="6" t="s">
        <v>390</v>
      </c>
      <c r="B175" s="7">
        <v>46091</v>
      </c>
      <c r="C175" s="9" t="str">
        <f>HYPERLINK("https://eping.wto.org/en/Search?viewData= G/TBT/N/TZA/1526"," G/TBT/N/TZA/1526")</f>
        <v xml:space="preserve"> G/TBT/N/TZA/1526</v>
      </c>
      <c r="D175" s="8" t="s">
        <v>984</v>
      </c>
      <c r="E175" s="8" t="s">
        <v>985</v>
      </c>
      <c r="F175" s="8" t="s">
        <v>928</v>
      </c>
      <c r="G175" s="8" t="s">
        <v>929</v>
      </c>
      <c r="H175" s="8" t="s">
        <v>896</v>
      </c>
      <c r="I175" s="8" t="s">
        <v>684</v>
      </c>
      <c r="J175" s="8" t="s">
        <v>43</v>
      </c>
      <c r="K175" s="8" t="s">
        <v>240</v>
      </c>
      <c r="L175" s="6"/>
      <c r="M175" s="7">
        <v>46151</v>
      </c>
      <c r="N175" s="7" t="s">
        <v>79</v>
      </c>
      <c r="O175" s="7" t="s">
        <v>79</v>
      </c>
      <c r="P175" s="6" t="s">
        <v>62</v>
      </c>
      <c r="Q175" s="8" t="s">
        <v>986</v>
      </c>
      <c r="R175" t="str">
        <f>HYPERLINK("https://docs.wto.org/imrd/directdoc.asp?DDFDocuments/t/G/TBTN26/TZA1526.docx", "https://docs.wto.org/imrd/directdoc.asp?DDFDocuments/t/G/TBTN26/TZA1526.docx")</f>
        <v>https://docs.wto.org/imrd/directdoc.asp?DDFDocuments/t/G/TBTN26/TZA1526.docx</v>
      </c>
      <c r="S175" t="str">
        <f>HYPERLINK("https://docs.wto.org/imrd/directdoc.asp?DDFDocuments/u/G/TBTN26/TZA1526.docx", "https://docs.wto.org/imrd/directdoc.asp?DDFDocuments/u/G/TBTN26/TZA1526.docx")</f>
        <v>https://docs.wto.org/imrd/directdoc.asp?DDFDocuments/u/G/TBTN26/TZA1526.docx</v>
      </c>
      <c r="T175" t="str">
        <f>HYPERLINK("https://docs.wto.org/imrd/directdoc.asp?DDFDocuments/v/G/TBTN26/TZA1526.docx", "https://docs.wto.org/imrd/directdoc.asp?DDFDocuments/v/G/TBTN26/TZA1526.docx")</f>
        <v>https://docs.wto.org/imrd/directdoc.asp?DDFDocuments/v/G/TBTN26/TZA1526.docx</v>
      </c>
      <c r="U175" t="s">
        <v>64</v>
      </c>
      <c r="V175" t="s">
        <v>46</v>
      </c>
      <c r="W175" t="s">
        <v>46</v>
      </c>
      <c r="X175" t="s">
        <v>46</v>
      </c>
      <c r="Y175" t="s">
        <v>46</v>
      </c>
      <c r="Z175" t="s">
        <v>46</v>
      </c>
      <c r="AA175" t="s">
        <v>46</v>
      </c>
      <c r="AB175" s="2" t="s">
        <v>987</v>
      </c>
      <c r="AC175" t="s">
        <v>43</v>
      </c>
      <c r="AD175" t="s">
        <v>43</v>
      </c>
      <c r="AE175" t="s">
        <v>43</v>
      </c>
      <c r="AF175" t="s">
        <v>43</v>
      </c>
      <c r="AG175" t="s">
        <v>43</v>
      </c>
      <c r="AH175" s="2" t="s">
        <v>43</v>
      </c>
    </row>
    <row r="176" spans="1:34" ht="285">
      <c r="A176" s="6" t="s">
        <v>390</v>
      </c>
      <c r="B176" s="7">
        <v>46091</v>
      </c>
      <c r="C176" s="9" t="str">
        <f>HYPERLINK("https://eping.wto.org/en/Search?viewData= G/TBT/N/TZA/1524"," G/TBT/N/TZA/1524")</f>
        <v xml:space="preserve"> G/TBT/N/TZA/1524</v>
      </c>
      <c r="D176" s="8" t="s">
        <v>988</v>
      </c>
      <c r="E176" s="8" t="s">
        <v>989</v>
      </c>
      <c r="F176" s="8" t="s">
        <v>990</v>
      </c>
      <c r="G176" s="8" t="s">
        <v>935</v>
      </c>
      <c r="H176" s="8" t="s">
        <v>936</v>
      </c>
      <c r="I176" s="8" t="s">
        <v>684</v>
      </c>
      <c r="J176" s="8" t="s">
        <v>43</v>
      </c>
      <c r="K176" s="8" t="s">
        <v>240</v>
      </c>
      <c r="L176" s="6"/>
      <c r="M176" s="7">
        <v>46151</v>
      </c>
      <c r="N176" s="7" t="s">
        <v>79</v>
      </c>
      <c r="O176" s="7" t="s">
        <v>79</v>
      </c>
      <c r="P176" s="6" t="s">
        <v>62</v>
      </c>
      <c r="Q176" s="8" t="s">
        <v>991</v>
      </c>
      <c r="R176" t="str">
        <f>HYPERLINK("https://docs.wto.org/imrd/directdoc.asp?DDFDocuments/t/G/TBTN26/TZA1524.docx", "https://docs.wto.org/imrd/directdoc.asp?DDFDocuments/t/G/TBTN26/TZA1524.docx")</f>
        <v>https://docs.wto.org/imrd/directdoc.asp?DDFDocuments/t/G/TBTN26/TZA1524.docx</v>
      </c>
      <c r="S176" t="str">
        <f>HYPERLINK("https://docs.wto.org/imrd/directdoc.asp?DDFDocuments/u/G/TBTN26/TZA1524.docx", "https://docs.wto.org/imrd/directdoc.asp?DDFDocuments/u/G/TBTN26/TZA1524.docx")</f>
        <v>https://docs.wto.org/imrd/directdoc.asp?DDFDocuments/u/G/TBTN26/TZA1524.docx</v>
      </c>
      <c r="T176" t="str">
        <f>HYPERLINK("https://docs.wto.org/imrd/directdoc.asp?DDFDocuments/v/G/TBTN26/TZA1524.docx", "https://docs.wto.org/imrd/directdoc.asp?DDFDocuments/v/G/TBTN26/TZA1524.docx")</f>
        <v>https://docs.wto.org/imrd/directdoc.asp?DDFDocuments/v/G/TBTN26/TZA1524.docx</v>
      </c>
      <c r="U176" t="s">
        <v>64</v>
      </c>
      <c r="V176" t="s">
        <v>46</v>
      </c>
      <c r="W176" t="s">
        <v>46</v>
      </c>
      <c r="X176" t="s">
        <v>46</v>
      </c>
      <c r="Y176" t="s">
        <v>46</v>
      </c>
      <c r="Z176" t="s">
        <v>46</v>
      </c>
      <c r="AA176" t="s">
        <v>46</v>
      </c>
      <c r="AB176" s="2" t="s">
        <v>992</v>
      </c>
      <c r="AC176" t="s">
        <v>43</v>
      </c>
      <c r="AD176" t="s">
        <v>43</v>
      </c>
      <c r="AE176" t="s">
        <v>43</v>
      </c>
      <c r="AF176" t="s">
        <v>43</v>
      </c>
      <c r="AG176" t="s">
        <v>43</v>
      </c>
      <c r="AH176" s="2" t="s">
        <v>43</v>
      </c>
    </row>
    <row r="177" spans="1:34" ht="240">
      <c r="A177" s="6" t="s">
        <v>390</v>
      </c>
      <c r="B177" s="7">
        <v>46091</v>
      </c>
      <c r="C177" s="9" t="str">
        <f>HYPERLINK("https://eping.wto.org/en/Search?viewData= G/TBT/N/TZA/1523"," G/TBT/N/TZA/1523")</f>
        <v xml:space="preserve"> G/TBT/N/TZA/1523</v>
      </c>
      <c r="D177" s="8" t="s">
        <v>993</v>
      </c>
      <c r="E177" s="8" t="s">
        <v>994</v>
      </c>
      <c r="F177" s="8" t="s">
        <v>995</v>
      </c>
      <c r="G177" s="8" t="s">
        <v>996</v>
      </c>
      <c r="H177" s="8" t="s">
        <v>953</v>
      </c>
      <c r="I177" s="8" t="s">
        <v>684</v>
      </c>
      <c r="J177" s="8" t="s">
        <v>43</v>
      </c>
      <c r="K177" s="8" t="s">
        <v>240</v>
      </c>
      <c r="L177" s="6"/>
      <c r="M177" s="7">
        <v>46151</v>
      </c>
      <c r="N177" s="7" t="s">
        <v>79</v>
      </c>
      <c r="O177" s="7" t="s">
        <v>79</v>
      </c>
      <c r="P177" s="6" t="s">
        <v>62</v>
      </c>
      <c r="Q177" s="8" t="s">
        <v>997</v>
      </c>
      <c r="R177" t="str">
        <f>HYPERLINK("https://docs.wto.org/imrd/directdoc.asp?DDFDocuments/t/G/TBTN26/TZA1523.docx", "https://docs.wto.org/imrd/directdoc.asp?DDFDocuments/t/G/TBTN26/TZA1523.docx")</f>
        <v>https://docs.wto.org/imrd/directdoc.asp?DDFDocuments/t/G/TBTN26/TZA1523.docx</v>
      </c>
      <c r="S177" t="str">
        <f>HYPERLINK("https://docs.wto.org/imrd/directdoc.asp?DDFDocuments/u/G/TBTN26/TZA1523.docx", "https://docs.wto.org/imrd/directdoc.asp?DDFDocuments/u/G/TBTN26/TZA1523.docx")</f>
        <v>https://docs.wto.org/imrd/directdoc.asp?DDFDocuments/u/G/TBTN26/TZA1523.docx</v>
      </c>
      <c r="T177" t="str">
        <f>HYPERLINK("https://docs.wto.org/imrd/directdoc.asp?DDFDocuments/v/G/TBTN26/TZA1523.docx", "https://docs.wto.org/imrd/directdoc.asp?DDFDocuments/v/G/TBTN26/TZA1523.docx")</f>
        <v>https://docs.wto.org/imrd/directdoc.asp?DDFDocuments/v/G/TBTN26/TZA1523.docx</v>
      </c>
      <c r="U177" t="s">
        <v>64</v>
      </c>
      <c r="V177" t="s">
        <v>46</v>
      </c>
      <c r="W177" t="s">
        <v>46</v>
      </c>
      <c r="X177" t="s">
        <v>46</v>
      </c>
      <c r="Y177" t="s">
        <v>46</v>
      </c>
      <c r="Z177" t="s">
        <v>46</v>
      </c>
      <c r="AA177" t="s">
        <v>46</v>
      </c>
      <c r="AB177" s="2" t="s">
        <v>998</v>
      </c>
      <c r="AC177" t="s">
        <v>43</v>
      </c>
      <c r="AD177" t="s">
        <v>43</v>
      </c>
      <c r="AE177" t="s">
        <v>43</v>
      </c>
      <c r="AF177" t="s">
        <v>43</v>
      </c>
      <c r="AG177" t="s">
        <v>43</v>
      </c>
      <c r="AH177" s="2" t="s">
        <v>43</v>
      </c>
    </row>
    <row r="178" spans="1:34" ht="390">
      <c r="A178" s="6" t="s">
        <v>390</v>
      </c>
      <c r="B178" s="7">
        <v>46091</v>
      </c>
      <c r="C178" s="9" t="str">
        <f>HYPERLINK("https://eping.wto.org/en/Search?viewData= G/TBT/N/TZA/1529"," G/TBT/N/TZA/1529")</f>
        <v xml:space="preserve"> G/TBT/N/TZA/1529</v>
      </c>
      <c r="D178" s="8" t="s">
        <v>999</v>
      </c>
      <c r="E178" s="8" t="s">
        <v>1000</v>
      </c>
      <c r="F178" s="8" t="s">
        <v>928</v>
      </c>
      <c r="G178" s="8" t="s">
        <v>978</v>
      </c>
      <c r="H178" s="8" t="s">
        <v>896</v>
      </c>
      <c r="I178" s="8" t="s">
        <v>684</v>
      </c>
      <c r="J178" s="8" t="s">
        <v>43</v>
      </c>
      <c r="K178" s="8" t="s">
        <v>240</v>
      </c>
      <c r="L178" s="6"/>
      <c r="M178" s="7">
        <v>46151</v>
      </c>
      <c r="N178" s="7" t="s">
        <v>79</v>
      </c>
      <c r="O178" s="7" t="s">
        <v>79</v>
      </c>
      <c r="P178" s="6" t="s">
        <v>62</v>
      </c>
      <c r="Q178" s="8" t="s">
        <v>1001</v>
      </c>
      <c r="R178" t="str">
        <f>HYPERLINK("https://docs.wto.org/imrd/directdoc.asp?DDFDocuments/t/G/TBTN26/TZA1529.docx", "https://docs.wto.org/imrd/directdoc.asp?DDFDocuments/t/G/TBTN26/TZA1529.docx")</f>
        <v>https://docs.wto.org/imrd/directdoc.asp?DDFDocuments/t/G/TBTN26/TZA1529.docx</v>
      </c>
      <c r="S178" t="str">
        <f>HYPERLINK("https://docs.wto.org/imrd/directdoc.asp?DDFDocuments/u/G/TBTN26/TZA1529.docx", "https://docs.wto.org/imrd/directdoc.asp?DDFDocuments/u/G/TBTN26/TZA1529.docx")</f>
        <v>https://docs.wto.org/imrd/directdoc.asp?DDFDocuments/u/G/TBTN26/TZA1529.docx</v>
      </c>
      <c r="T178" t="str">
        <f>HYPERLINK("https://docs.wto.org/imrd/directdoc.asp?DDFDocuments/v/G/TBTN26/TZA1529.docx", "https://docs.wto.org/imrd/directdoc.asp?DDFDocuments/v/G/TBTN26/TZA1529.docx")</f>
        <v>https://docs.wto.org/imrd/directdoc.asp?DDFDocuments/v/G/TBTN26/TZA1529.docx</v>
      </c>
      <c r="U178" t="s">
        <v>64</v>
      </c>
      <c r="V178" t="s">
        <v>46</v>
      </c>
      <c r="W178" t="s">
        <v>46</v>
      </c>
      <c r="X178" t="s">
        <v>46</v>
      </c>
      <c r="Y178" t="s">
        <v>46</v>
      </c>
      <c r="Z178" t="s">
        <v>46</v>
      </c>
      <c r="AA178" t="s">
        <v>46</v>
      </c>
      <c r="AB178" s="2" t="s">
        <v>1002</v>
      </c>
      <c r="AC178" t="s">
        <v>43</v>
      </c>
      <c r="AD178" t="s">
        <v>43</v>
      </c>
      <c r="AE178" t="s">
        <v>43</v>
      </c>
      <c r="AF178" t="s">
        <v>43</v>
      </c>
      <c r="AG178" t="s">
        <v>43</v>
      </c>
      <c r="AH178" s="2" t="s">
        <v>43</v>
      </c>
    </row>
    <row r="179" spans="1:34" ht="300">
      <c r="A179" s="6" t="s">
        <v>390</v>
      </c>
      <c r="B179" s="7">
        <v>46091</v>
      </c>
      <c r="C179" s="9" t="str">
        <f>HYPERLINK("https://eping.wto.org/en/Search?viewData= G/TBT/N/TZA/1530"," G/TBT/N/TZA/1530")</f>
        <v xml:space="preserve"> G/TBT/N/TZA/1530</v>
      </c>
      <c r="D179" s="8" t="s">
        <v>1003</v>
      </c>
      <c r="E179" s="8" t="s">
        <v>1004</v>
      </c>
      <c r="F179" s="8" t="s">
        <v>928</v>
      </c>
      <c r="G179" s="8" t="s">
        <v>929</v>
      </c>
      <c r="H179" s="8" t="s">
        <v>896</v>
      </c>
      <c r="I179" s="8" t="s">
        <v>684</v>
      </c>
      <c r="J179" s="8" t="s">
        <v>43</v>
      </c>
      <c r="K179" s="8" t="s">
        <v>240</v>
      </c>
      <c r="L179" s="6"/>
      <c r="M179" s="7">
        <v>46151</v>
      </c>
      <c r="N179" s="7" t="s">
        <v>79</v>
      </c>
      <c r="O179" s="7" t="s">
        <v>79</v>
      </c>
      <c r="P179" s="6" t="s">
        <v>62</v>
      </c>
      <c r="Q179" s="8" t="s">
        <v>1005</v>
      </c>
      <c r="R179" t="str">
        <f>HYPERLINK("https://docs.wto.org/imrd/directdoc.asp?DDFDocuments/t/G/TBTN26/TZA1530.docx", "https://docs.wto.org/imrd/directdoc.asp?DDFDocuments/t/G/TBTN26/TZA1530.docx")</f>
        <v>https://docs.wto.org/imrd/directdoc.asp?DDFDocuments/t/G/TBTN26/TZA1530.docx</v>
      </c>
      <c r="S179" t="str">
        <f>HYPERLINK("https://docs.wto.org/imrd/directdoc.asp?DDFDocuments/u/G/TBTN26/TZA1530.docx", "https://docs.wto.org/imrd/directdoc.asp?DDFDocuments/u/G/TBTN26/TZA1530.docx")</f>
        <v>https://docs.wto.org/imrd/directdoc.asp?DDFDocuments/u/G/TBTN26/TZA1530.docx</v>
      </c>
      <c r="T179" t="str">
        <f>HYPERLINK("https://docs.wto.org/imrd/directdoc.asp?DDFDocuments/v/G/TBTN26/TZA1530.docx", "https://docs.wto.org/imrd/directdoc.asp?DDFDocuments/v/G/TBTN26/TZA1530.docx")</f>
        <v>https://docs.wto.org/imrd/directdoc.asp?DDFDocuments/v/G/TBTN26/TZA1530.docx</v>
      </c>
      <c r="U179" t="s">
        <v>64</v>
      </c>
      <c r="V179" t="s">
        <v>46</v>
      </c>
      <c r="W179" t="s">
        <v>46</v>
      </c>
      <c r="X179" t="s">
        <v>46</v>
      </c>
      <c r="Y179" t="s">
        <v>46</v>
      </c>
      <c r="Z179" t="s">
        <v>46</v>
      </c>
      <c r="AA179" t="s">
        <v>46</v>
      </c>
      <c r="AB179" s="2" t="s">
        <v>1006</v>
      </c>
      <c r="AC179" t="s">
        <v>43</v>
      </c>
      <c r="AD179" t="s">
        <v>43</v>
      </c>
      <c r="AE179" t="s">
        <v>43</v>
      </c>
      <c r="AF179" t="s">
        <v>43</v>
      </c>
      <c r="AG179" t="s">
        <v>43</v>
      </c>
      <c r="AH179" s="2" t="s">
        <v>43</v>
      </c>
    </row>
    <row r="180" spans="1:34" ht="300">
      <c r="A180" s="6" t="s">
        <v>390</v>
      </c>
      <c r="B180" s="7">
        <v>46091</v>
      </c>
      <c r="C180" s="9" t="str">
        <f>HYPERLINK("https://eping.wto.org/en/Search?viewData= G/TBT/N/TZA/1528"," G/TBT/N/TZA/1528")</f>
        <v xml:space="preserve"> G/TBT/N/TZA/1528</v>
      </c>
      <c r="D180" s="8" t="s">
        <v>1007</v>
      </c>
      <c r="E180" s="8" t="s">
        <v>1008</v>
      </c>
      <c r="F180" s="8" t="s">
        <v>928</v>
      </c>
      <c r="G180" s="8" t="s">
        <v>929</v>
      </c>
      <c r="H180" s="8" t="s">
        <v>896</v>
      </c>
      <c r="I180" s="8" t="s">
        <v>684</v>
      </c>
      <c r="J180" s="8" t="s">
        <v>43</v>
      </c>
      <c r="K180" s="8" t="s">
        <v>240</v>
      </c>
      <c r="L180" s="6"/>
      <c r="M180" s="7">
        <v>46151</v>
      </c>
      <c r="N180" s="7" t="s">
        <v>79</v>
      </c>
      <c r="O180" s="7" t="s">
        <v>79</v>
      </c>
      <c r="P180" s="6" t="s">
        <v>62</v>
      </c>
      <c r="Q180" s="8" t="s">
        <v>1009</v>
      </c>
      <c r="R180" t="str">
        <f>HYPERLINK("https://docs.wto.org/imrd/directdoc.asp?DDFDocuments/t/G/TBTN26/TZA1528.docx", "https://docs.wto.org/imrd/directdoc.asp?DDFDocuments/t/G/TBTN26/TZA1528.docx")</f>
        <v>https://docs.wto.org/imrd/directdoc.asp?DDFDocuments/t/G/TBTN26/TZA1528.docx</v>
      </c>
      <c r="S180" t="str">
        <f>HYPERLINK("https://docs.wto.org/imrd/directdoc.asp?DDFDocuments/u/G/TBTN26/TZA1528.docx", "https://docs.wto.org/imrd/directdoc.asp?DDFDocuments/u/G/TBTN26/TZA1528.docx")</f>
        <v>https://docs.wto.org/imrd/directdoc.asp?DDFDocuments/u/G/TBTN26/TZA1528.docx</v>
      </c>
      <c r="T180" t="str">
        <f>HYPERLINK("https://docs.wto.org/imrd/directdoc.asp?DDFDocuments/v/G/TBTN26/TZA1528.docx", "https://docs.wto.org/imrd/directdoc.asp?DDFDocuments/v/G/TBTN26/TZA1528.docx")</f>
        <v>https://docs.wto.org/imrd/directdoc.asp?DDFDocuments/v/G/TBTN26/TZA1528.docx</v>
      </c>
      <c r="U180" t="s">
        <v>64</v>
      </c>
      <c r="V180" t="s">
        <v>46</v>
      </c>
      <c r="W180" t="s">
        <v>46</v>
      </c>
      <c r="X180" t="s">
        <v>46</v>
      </c>
      <c r="Y180" t="s">
        <v>46</v>
      </c>
      <c r="Z180" t="s">
        <v>46</v>
      </c>
      <c r="AA180" t="s">
        <v>46</v>
      </c>
      <c r="AB180" s="2" t="s">
        <v>1010</v>
      </c>
      <c r="AC180" t="s">
        <v>43</v>
      </c>
      <c r="AD180" t="s">
        <v>43</v>
      </c>
      <c r="AE180" t="s">
        <v>43</v>
      </c>
      <c r="AF180" t="s">
        <v>43</v>
      </c>
      <c r="AG180" t="s">
        <v>43</v>
      </c>
      <c r="AH180" s="2" t="s">
        <v>43</v>
      </c>
    </row>
    <row r="181" spans="1:34" ht="60">
      <c r="A181" s="6" t="s">
        <v>390</v>
      </c>
      <c r="B181" s="7">
        <v>46091</v>
      </c>
      <c r="C181" s="9" t="str">
        <f>HYPERLINK("https://eping.wto.org/en/Search?viewData= G/SPS/N/TZA/512"," G/SPS/N/TZA/512")</f>
        <v xml:space="preserve"> G/SPS/N/TZA/512</v>
      </c>
      <c r="D181" s="8" t="s">
        <v>1011</v>
      </c>
      <c r="E181" s="8" t="s">
        <v>1012</v>
      </c>
      <c r="F181" s="8" t="s">
        <v>928</v>
      </c>
      <c r="G181" s="8" t="s">
        <v>929</v>
      </c>
      <c r="H181" s="8" t="s">
        <v>896</v>
      </c>
      <c r="I181" s="8" t="s">
        <v>58</v>
      </c>
      <c r="J181" s="8" t="s">
        <v>43</v>
      </c>
      <c r="K181" s="8" t="s">
        <v>310</v>
      </c>
      <c r="L181" s="6" t="s">
        <v>43</v>
      </c>
      <c r="M181" s="7">
        <v>46151</v>
      </c>
      <c r="N181" s="7" t="s">
        <v>396</v>
      </c>
      <c r="O181" s="7" t="s">
        <v>304</v>
      </c>
      <c r="P181" s="6" t="s">
        <v>62</v>
      </c>
      <c r="Q181" s="8" t="s">
        <v>1013</v>
      </c>
      <c r="R181" t="str">
        <f>HYPERLINK("https://docs.wto.org/imrd/directdoc.asp?DDFDocuments/t/G/SPS/NTZA512.docx", "https://docs.wto.org/imrd/directdoc.asp?DDFDocuments/t/G/SPS/NTZA512.docx")</f>
        <v>https://docs.wto.org/imrd/directdoc.asp?DDFDocuments/t/G/SPS/NTZA512.docx</v>
      </c>
      <c r="S181" t="str">
        <f>HYPERLINK("https://docs.wto.org/imrd/directdoc.asp?DDFDocuments/u/G/SPS/NTZA512.docx", "https://docs.wto.org/imrd/directdoc.asp?DDFDocuments/u/G/SPS/NTZA512.docx")</f>
        <v>https://docs.wto.org/imrd/directdoc.asp?DDFDocuments/u/G/SPS/NTZA512.docx</v>
      </c>
      <c r="T181" t="str">
        <f>HYPERLINK("https://docs.wto.org/imrd/directdoc.asp?DDFDocuments/v/G/SPS/NTZA512.docx", "https://docs.wto.org/imrd/directdoc.asp?DDFDocuments/v/G/SPS/NTZA512.docx")</f>
        <v>https://docs.wto.org/imrd/directdoc.asp?DDFDocuments/v/G/SPS/NTZA512.docx</v>
      </c>
      <c r="U181" t="s">
        <v>43</v>
      </c>
      <c r="V181" t="s">
        <v>43</v>
      </c>
      <c r="W181" t="s">
        <v>43</v>
      </c>
      <c r="X181" t="s">
        <v>43</v>
      </c>
      <c r="Y181" t="s">
        <v>43</v>
      </c>
      <c r="Z181" t="s">
        <v>43</v>
      </c>
      <c r="AA181" t="s">
        <v>43</v>
      </c>
      <c r="AB181" s="2" t="s">
        <v>43</v>
      </c>
      <c r="AC181" t="s">
        <v>46</v>
      </c>
      <c r="AD181" t="s">
        <v>46</v>
      </c>
      <c r="AE181" t="s">
        <v>46</v>
      </c>
      <c r="AF181" t="s">
        <v>64</v>
      </c>
      <c r="AG181" t="s">
        <v>99</v>
      </c>
      <c r="AH181" s="2" t="s">
        <v>43</v>
      </c>
    </row>
    <row r="182" spans="1:34" ht="45">
      <c r="A182" s="6" t="s">
        <v>390</v>
      </c>
      <c r="B182" s="7">
        <v>46091</v>
      </c>
      <c r="C182" s="9" t="str">
        <f>HYPERLINK("https://eping.wto.org/en/Search?viewData= G/SPS/N/TZA/515"," G/SPS/N/TZA/515")</f>
        <v xml:space="preserve"> G/SPS/N/TZA/515</v>
      </c>
      <c r="D182" s="8" t="s">
        <v>1014</v>
      </c>
      <c r="E182" s="8" t="s">
        <v>1015</v>
      </c>
      <c r="F182" s="8" t="s">
        <v>928</v>
      </c>
      <c r="G182" s="8" t="s">
        <v>929</v>
      </c>
      <c r="H182" s="8" t="s">
        <v>896</v>
      </c>
      <c r="I182" s="8" t="s">
        <v>58</v>
      </c>
      <c r="J182" s="8" t="s">
        <v>43</v>
      </c>
      <c r="K182" s="8" t="s">
        <v>157</v>
      </c>
      <c r="L182" s="6" t="s">
        <v>43</v>
      </c>
      <c r="M182" s="7">
        <v>46151</v>
      </c>
      <c r="N182" s="7" t="s">
        <v>396</v>
      </c>
      <c r="O182" s="7" t="s">
        <v>304</v>
      </c>
      <c r="P182" s="6" t="s">
        <v>62</v>
      </c>
      <c r="Q182" s="8" t="s">
        <v>1016</v>
      </c>
      <c r="R182" t="str">
        <f>HYPERLINK("https://docs.wto.org/imrd/directdoc.asp?DDFDocuments/t/G/SPS/NTZA515.docx", "https://docs.wto.org/imrd/directdoc.asp?DDFDocuments/t/G/SPS/NTZA515.docx")</f>
        <v>https://docs.wto.org/imrd/directdoc.asp?DDFDocuments/t/G/SPS/NTZA515.docx</v>
      </c>
      <c r="S182" t="str">
        <f>HYPERLINK("https://docs.wto.org/imrd/directdoc.asp?DDFDocuments/u/G/SPS/NTZA515.docx", "https://docs.wto.org/imrd/directdoc.asp?DDFDocuments/u/G/SPS/NTZA515.docx")</f>
        <v>https://docs.wto.org/imrd/directdoc.asp?DDFDocuments/u/G/SPS/NTZA515.docx</v>
      </c>
      <c r="T182" t="str">
        <f>HYPERLINK("https://docs.wto.org/imrd/directdoc.asp?DDFDocuments/v/G/SPS/NTZA515.docx", "https://docs.wto.org/imrd/directdoc.asp?DDFDocuments/v/G/SPS/NTZA515.docx")</f>
        <v>https://docs.wto.org/imrd/directdoc.asp?DDFDocuments/v/G/SPS/NTZA515.docx</v>
      </c>
      <c r="U182" t="s">
        <v>43</v>
      </c>
      <c r="V182" t="s">
        <v>43</v>
      </c>
      <c r="W182" t="s">
        <v>43</v>
      </c>
      <c r="X182" t="s">
        <v>43</v>
      </c>
      <c r="Y182" t="s">
        <v>43</v>
      </c>
      <c r="Z182" t="s">
        <v>43</v>
      </c>
      <c r="AA182" t="s">
        <v>43</v>
      </c>
      <c r="AB182" s="2" t="s">
        <v>43</v>
      </c>
      <c r="AC182" t="s">
        <v>46</v>
      </c>
      <c r="AD182" t="s">
        <v>46</v>
      </c>
      <c r="AE182" t="s">
        <v>46</v>
      </c>
      <c r="AF182" t="s">
        <v>64</v>
      </c>
      <c r="AG182" t="s">
        <v>99</v>
      </c>
      <c r="AH182" s="2" t="s">
        <v>43</v>
      </c>
    </row>
    <row r="183" spans="1:34" ht="45">
      <c r="A183" s="6" t="s">
        <v>390</v>
      </c>
      <c r="B183" s="7">
        <v>46091</v>
      </c>
      <c r="C183" s="9" t="str">
        <f>HYPERLINK("https://eping.wto.org/en/Search?viewData= G/SPS/N/TZA/511"," G/SPS/N/TZA/511")</f>
        <v xml:space="preserve"> G/SPS/N/TZA/511</v>
      </c>
      <c r="D183" s="8" t="s">
        <v>1017</v>
      </c>
      <c r="E183" s="8" t="s">
        <v>1018</v>
      </c>
      <c r="F183" s="8" t="s">
        <v>969</v>
      </c>
      <c r="G183" s="8" t="s">
        <v>970</v>
      </c>
      <c r="H183" s="8" t="s">
        <v>936</v>
      </c>
      <c r="I183" s="8" t="s">
        <v>58</v>
      </c>
      <c r="J183" s="8" t="s">
        <v>43</v>
      </c>
      <c r="K183" s="8" t="s">
        <v>310</v>
      </c>
      <c r="L183" s="6" t="s">
        <v>43</v>
      </c>
      <c r="M183" s="7">
        <v>46151</v>
      </c>
      <c r="N183" s="7" t="s">
        <v>396</v>
      </c>
      <c r="O183" s="7" t="s">
        <v>304</v>
      </c>
      <c r="P183" s="6" t="s">
        <v>62</v>
      </c>
      <c r="Q183" s="8" t="s">
        <v>1019</v>
      </c>
      <c r="R183" t="str">
        <f>HYPERLINK("https://docs.wto.org/imrd/directdoc.asp?DDFDocuments/t/G/SPS/NTZA511.docx", "https://docs.wto.org/imrd/directdoc.asp?DDFDocuments/t/G/SPS/NTZA511.docx")</f>
        <v>https://docs.wto.org/imrd/directdoc.asp?DDFDocuments/t/G/SPS/NTZA511.docx</v>
      </c>
      <c r="S183" t="str">
        <f>HYPERLINK("https://docs.wto.org/imrd/directdoc.asp?DDFDocuments/u/G/SPS/NTZA511.docx", "https://docs.wto.org/imrd/directdoc.asp?DDFDocuments/u/G/SPS/NTZA511.docx")</f>
        <v>https://docs.wto.org/imrd/directdoc.asp?DDFDocuments/u/G/SPS/NTZA511.docx</v>
      </c>
      <c r="T183" t="str">
        <f>HYPERLINK("https://docs.wto.org/imrd/directdoc.asp?DDFDocuments/v/G/SPS/NTZA511.docx", "https://docs.wto.org/imrd/directdoc.asp?DDFDocuments/v/G/SPS/NTZA511.docx")</f>
        <v>https://docs.wto.org/imrd/directdoc.asp?DDFDocuments/v/G/SPS/NTZA511.docx</v>
      </c>
      <c r="U183" t="s">
        <v>43</v>
      </c>
      <c r="V183" t="s">
        <v>43</v>
      </c>
      <c r="W183" t="s">
        <v>43</v>
      </c>
      <c r="X183" t="s">
        <v>43</v>
      </c>
      <c r="Y183" t="s">
        <v>43</v>
      </c>
      <c r="Z183" t="s">
        <v>43</v>
      </c>
      <c r="AA183" t="s">
        <v>43</v>
      </c>
      <c r="AB183" s="2" t="s">
        <v>43</v>
      </c>
      <c r="AC183" t="s">
        <v>46</v>
      </c>
      <c r="AD183" t="s">
        <v>46</v>
      </c>
      <c r="AE183" t="s">
        <v>46</v>
      </c>
      <c r="AF183" t="s">
        <v>64</v>
      </c>
      <c r="AG183" t="s">
        <v>99</v>
      </c>
      <c r="AH183" s="2" t="s">
        <v>43</v>
      </c>
    </row>
    <row r="184" spans="1:34" ht="45">
      <c r="A184" s="6" t="s">
        <v>390</v>
      </c>
      <c r="B184" s="7">
        <v>46091</v>
      </c>
      <c r="C184" s="9" t="str">
        <f>HYPERLINK("https://eping.wto.org/en/Search?viewData= G/SPS/N/TZA/514"," G/SPS/N/TZA/514")</f>
        <v xml:space="preserve"> G/SPS/N/TZA/514</v>
      </c>
      <c r="D184" s="8" t="s">
        <v>1020</v>
      </c>
      <c r="E184" s="8" t="s">
        <v>1021</v>
      </c>
      <c r="F184" s="8" t="s">
        <v>928</v>
      </c>
      <c r="G184" s="8" t="s">
        <v>929</v>
      </c>
      <c r="H184" s="8" t="s">
        <v>896</v>
      </c>
      <c r="I184" s="8" t="s">
        <v>58</v>
      </c>
      <c r="J184" s="8" t="s">
        <v>43</v>
      </c>
      <c r="K184" s="8" t="s">
        <v>310</v>
      </c>
      <c r="L184" s="6" t="s">
        <v>43</v>
      </c>
      <c r="M184" s="7">
        <v>46151</v>
      </c>
      <c r="N184" s="7" t="s">
        <v>396</v>
      </c>
      <c r="O184" s="7" t="s">
        <v>304</v>
      </c>
      <c r="P184" s="6" t="s">
        <v>62</v>
      </c>
      <c r="Q184" s="8" t="s">
        <v>1022</v>
      </c>
      <c r="R184" t="str">
        <f>HYPERLINK("https://docs.wto.org/imrd/directdoc.asp?DDFDocuments/t/G/SPS/NTZA514.docx", "https://docs.wto.org/imrd/directdoc.asp?DDFDocuments/t/G/SPS/NTZA514.docx")</f>
        <v>https://docs.wto.org/imrd/directdoc.asp?DDFDocuments/t/G/SPS/NTZA514.docx</v>
      </c>
      <c r="S184" t="str">
        <f>HYPERLINK("https://docs.wto.org/imrd/directdoc.asp?DDFDocuments/u/G/SPS/NTZA514.docx", "https://docs.wto.org/imrd/directdoc.asp?DDFDocuments/u/G/SPS/NTZA514.docx")</f>
        <v>https://docs.wto.org/imrd/directdoc.asp?DDFDocuments/u/G/SPS/NTZA514.docx</v>
      </c>
      <c r="T184" t="str">
        <f>HYPERLINK("https://docs.wto.org/imrd/directdoc.asp?DDFDocuments/v/G/SPS/NTZA514.docx", "https://docs.wto.org/imrd/directdoc.asp?DDFDocuments/v/G/SPS/NTZA514.docx")</f>
        <v>https://docs.wto.org/imrd/directdoc.asp?DDFDocuments/v/G/SPS/NTZA514.docx</v>
      </c>
      <c r="U184" t="s">
        <v>43</v>
      </c>
      <c r="V184" t="s">
        <v>43</v>
      </c>
      <c r="W184" t="s">
        <v>43</v>
      </c>
      <c r="X184" t="s">
        <v>43</v>
      </c>
      <c r="Y184" t="s">
        <v>43</v>
      </c>
      <c r="Z184" t="s">
        <v>43</v>
      </c>
      <c r="AA184" t="s">
        <v>43</v>
      </c>
      <c r="AB184" s="2" t="s">
        <v>43</v>
      </c>
      <c r="AC184" t="s">
        <v>46</v>
      </c>
      <c r="AD184" t="s">
        <v>46</v>
      </c>
      <c r="AE184" t="s">
        <v>46</v>
      </c>
      <c r="AF184" t="s">
        <v>64</v>
      </c>
      <c r="AG184" t="s">
        <v>99</v>
      </c>
      <c r="AH184" s="2" t="s">
        <v>43</v>
      </c>
    </row>
    <row r="185" spans="1:34" ht="195">
      <c r="A185" s="6" t="s">
        <v>132</v>
      </c>
      <c r="B185" s="7">
        <v>46091</v>
      </c>
      <c r="C185" s="9" t="str">
        <f>HYPERLINK("https://eping.wto.org/en/Search?viewData= G/TBT/N/USA/922/Rev.2/Add.1"," G/TBT/N/USA/922/Rev.2/Add.1")</f>
        <v xml:space="preserve"> G/TBT/N/USA/922/Rev.2/Add.1</v>
      </c>
      <c r="D185" s="8" t="s">
        <v>1023</v>
      </c>
      <c r="E185" s="8" t="s">
        <v>1024</v>
      </c>
      <c r="F185" s="8" t="s">
        <v>1025</v>
      </c>
      <c r="G185" s="8" t="s">
        <v>1026</v>
      </c>
      <c r="H185" s="8" t="s">
        <v>1027</v>
      </c>
      <c r="I185" s="8" t="s">
        <v>1028</v>
      </c>
      <c r="J185" s="8" t="s">
        <v>43</v>
      </c>
      <c r="K185" s="8" t="s">
        <v>1029</v>
      </c>
      <c r="L185" s="6"/>
      <c r="M185" s="7" t="s">
        <v>43</v>
      </c>
      <c r="N185" s="7"/>
      <c r="O185" s="7"/>
      <c r="P185" s="6" t="s">
        <v>44</v>
      </c>
      <c r="Q185" s="8" t="s">
        <v>1030</v>
      </c>
      <c r="R185" t="str">
        <f>HYPERLINK("https://docs.wto.org/imrd/directdoc.asp?DDFDocuments/t/G/TBTN14/USA922R2A1.docx", "https://docs.wto.org/imrd/directdoc.asp?DDFDocuments/t/G/TBTN14/USA922R2A1.docx")</f>
        <v>https://docs.wto.org/imrd/directdoc.asp?DDFDocuments/t/G/TBTN14/USA922R2A1.docx</v>
      </c>
      <c r="S185" t="str">
        <f>HYPERLINK("https://docs.wto.org/imrd/directdoc.asp?DDFDocuments/u/G/TBTN14/USA922R2A1.docx", "https://docs.wto.org/imrd/directdoc.asp?DDFDocuments/u/G/TBTN14/USA922R2A1.docx")</f>
        <v>https://docs.wto.org/imrd/directdoc.asp?DDFDocuments/u/G/TBTN14/USA922R2A1.docx</v>
      </c>
      <c r="T185" t="str">
        <f>HYPERLINK("https://docs.wto.org/imrd/directdoc.asp?DDFDocuments/v/G/TBTN14/USA922R2A1.docx", "https://docs.wto.org/imrd/directdoc.asp?DDFDocuments/v/G/TBTN14/USA922R2A1.docx")</f>
        <v>https://docs.wto.org/imrd/directdoc.asp?DDFDocuments/v/G/TBTN14/USA922R2A1.docx</v>
      </c>
      <c r="U185" t="s">
        <v>64</v>
      </c>
      <c r="V185" t="s">
        <v>46</v>
      </c>
      <c r="W185" t="s">
        <v>46</v>
      </c>
      <c r="X185" t="s">
        <v>46</v>
      </c>
      <c r="Y185" t="s">
        <v>46</v>
      </c>
      <c r="Z185" t="s">
        <v>46</v>
      </c>
      <c r="AA185" t="s">
        <v>46</v>
      </c>
      <c r="AB185" s="2" t="s">
        <v>43</v>
      </c>
      <c r="AC185" t="s">
        <v>43</v>
      </c>
      <c r="AD185" t="s">
        <v>43</v>
      </c>
      <c r="AE185" t="s">
        <v>43</v>
      </c>
      <c r="AF185" t="s">
        <v>43</v>
      </c>
      <c r="AG185" t="s">
        <v>43</v>
      </c>
      <c r="AH185" s="2" t="s">
        <v>43</v>
      </c>
    </row>
    <row r="186" spans="1:34" ht="330">
      <c r="A186" s="6" t="s">
        <v>390</v>
      </c>
      <c r="B186" s="7">
        <v>46090</v>
      </c>
      <c r="C186" s="9" t="str">
        <f>HYPERLINK("https://eping.wto.org/en/Search?viewData= G/TBT/N/BDI/724, G/TBT/N/KEN/1997, G/TBT/N/RWA/1366, G/TBT/N/TZA/1521, G/TBT/N/UGA/2323"," G/TBT/N/BDI/724, G/TBT/N/KEN/1997, G/TBT/N/RWA/1366, G/TBT/N/TZA/1521, G/TBT/N/UGA/2323")</f>
        <v xml:space="preserve"> G/TBT/N/BDI/724, G/TBT/N/KEN/1997, G/TBT/N/RWA/1366, G/TBT/N/TZA/1521, G/TBT/N/UGA/2323</v>
      </c>
      <c r="D186" s="8" t="s">
        <v>1031</v>
      </c>
      <c r="E186" s="8" t="s">
        <v>1032</v>
      </c>
      <c r="F186" s="8" t="s">
        <v>1033</v>
      </c>
      <c r="G186" s="8" t="s">
        <v>452</v>
      </c>
      <c r="H186" s="8" t="s">
        <v>1034</v>
      </c>
      <c r="I186" s="8" t="s">
        <v>1035</v>
      </c>
      <c r="J186" s="8" t="s">
        <v>43</v>
      </c>
      <c r="K186" s="8" t="s">
        <v>240</v>
      </c>
      <c r="L186" s="6"/>
      <c r="M186" s="7">
        <v>46150</v>
      </c>
      <c r="N186" s="7" t="s">
        <v>79</v>
      </c>
      <c r="O186" s="7" t="s">
        <v>79</v>
      </c>
      <c r="P186" s="6" t="s">
        <v>62</v>
      </c>
      <c r="Q186" s="8" t="s">
        <v>1036</v>
      </c>
      <c r="R186" t="str">
        <f>HYPERLINK("https://docs.wto.org/imrd/directdoc.asp?DDFDocuments/t/G/TBTN26/BDI724.docx", "https://docs.wto.org/imrd/directdoc.asp?DDFDocuments/t/G/TBTN26/BDI724.docx")</f>
        <v>https://docs.wto.org/imrd/directdoc.asp?DDFDocuments/t/G/TBTN26/BDI724.docx</v>
      </c>
      <c r="S186" t="str">
        <f>HYPERLINK("https://docs.wto.org/imrd/directdoc.asp?DDFDocuments/u/G/TBTN26/BDI724.docx", "https://docs.wto.org/imrd/directdoc.asp?DDFDocuments/u/G/TBTN26/BDI724.docx")</f>
        <v>https://docs.wto.org/imrd/directdoc.asp?DDFDocuments/u/G/TBTN26/BDI724.docx</v>
      </c>
      <c r="T186" t="str">
        <f>HYPERLINK("https://docs.wto.org/imrd/directdoc.asp?DDFDocuments/v/G/TBTN26/BDI724.docx", "https://docs.wto.org/imrd/directdoc.asp?DDFDocuments/v/G/TBTN26/BDI724.docx")</f>
        <v>https://docs.wto.org/imrd/directdoc.asp?DDFDocuments/v/G/TBTN26/BDI724.docx</v>
      </c>
      <c r="U186" t="s">
        <v>64</v>
      </c>
      <c r="V186" t="s">
        <v>46</v>
      </c>
      <c r="W186" t="s">
        <v>64</v>
      </c>
      <c r="X186" t="s">
        <v>46</v>
      </c>
      <c r="Y186" t="s">
        <v>46</v>
      </c>
      <c r="Z186" t="s">
        <v>46</v>
      </c>
      <c r="AA186" t="s">
        <v>46</v>
      </c>
      <c r="AB186" s="2" t="s">
        <v>1037</v>
      </c>
      <c r="AC186" t="s">
        <v>43</v>
      </c>
      <c r="AD186" t="s">
        <v>43</v>
      </c>
      <c r="AE186" t="s">
        <v>43</v>
      </c>
      <c r="AF186" t="s">
        <v>43</v>
      </c>
      <c r="AG186" t="s">
        <v>43</v>
      </c>
      <c r="AH186" s="2" t="s">
        <v>43</v>
      </c>
    </row>
    <row r="187" spans="1:34" ht="165">
      <c r="A187" s="6" t="s">
        <v>509</v>
      </c>
      <c r="B187" s="7">
        <v>46090</v>
      </c>
      <c r="C187" s="9" t="str">
        <f>HYPERLINK("https://eping.wto.org/en/Search?viewData= G/TBT/N/BDI/725, G/TBT/N/KEN/1998, G/TBT/N/RWA/1367, G/TBT/N/TZA/1522, G/TBT/N/UGA/2324"," G/TBT/N/BDI/725, G/TBT/N/KEN/1998, G/TBT/N/RWA/1367, G/TBT/N/TZA/1522, G/TBT/N/UGA/2324")</f>
        <v xml:space="preserve"> G/TBT/N/BDI/725, G/TBT/N/KEN/1998, G/TBT/N/RWA/1367, G/TBT/N/TZA/1522, G/TBT/N/UGA/2324</v>
      </c>
      <c r="D187" s="8" t="s">
        <v>1038</v>
      </c>
      <c r="E187" s="8" t="s">
        <v>1039</v>
      </c>
      <c r="F187" s="8" t="s">
        <v>1040</v>
      </c>
      <c r="G187" s="8" t="s">
        <v>452</v>
      </c>
      <c r="H187" s="8" t="s">
        <v>1041</v>
      </c>
      <c r="I187" s="8" t="s">
        <v>1042</v>
      </c>
      <c r="J187" s="8" t="s">
        <v>43</v>
      </c>
      <c r="K187" s="8" t="s">
        <v>240</v>
      </c>
      <c r="L187" s="6"/>
      <c r="M187" s="7">
        <v>46150</v>
      </c>
      <c r="N187" s="7" t="s">
        <v>79</v>
      </c>
      <c r="O187" s="7" t="s">
        <v>79</v>
      </c>
      <c r="P187" s="6" t="s">
        <v>62</v>
      </c>
      <c r="Q187" s="8" t="s">
        <v>1043</v>
      </c>
      <c r="R187" t="str">
        <f>HYPERLINK("https://docs.wto.org/imrd/directdoc.asp?DDFDocuments/t/G/TBTN26/BDI725.docx", "https://docs.wto.org/imrd/directdoc.asp?DDFDocuments/t/G/TBTN26/BDI725.docx")</f>
        <v>https://docs.wto.org/imrd/directdoc.asp?DDFDocuments/t/G/TBTN26/BDI725.docx</v>
      </c>
      <c r="S187" t="str">
        <f>HYPERLINK("https://docs.wto.org/imrd/directdoc.asp?DDFDocuments/u/G/TBTN26/BDI725.docx", "https://docs.wto.org/imrd/directdoc.asp?DDFDocuments/u/G/TBTN26/BDI725.docx")</f>
        <v>https://docs.wto.org/imrd/directdoc.asp?DDFDocuments/u/G/TBTN26/BDI725.docx</v>
      </c>
      <c r="T187" t="str">
        <f>HYPERLINK("https://docs.wto.org/imrd/directdoc.asp?DDFDocuments/v/G/TBTN26/BDI725.docx", "https://docs.wto.org/imrd/directdoc.asp?DDFDocuments/v/G/TBTN26/BDI725.docx")</f>
        <v>https://docs.wto.org/imrd/directdoc.asp?DDFDocuments/v/G/TBTN26/BDI725.docx</v>
      </c>
      <c r="U187" t="s">
        <v>46</v>
      </c>
      <c r="V187" t="s">
        <v>46</v>
      </c>
      <c r="W187" t="s">
        <v>64</v>
      </c>
      <c r="X187" t="s">
        <v>46</v>
      </c>
      <c r="Y187" t="s">
        <v>46</v>
      </c>
      <c r="Z187" t="s">
        <v>46</v>
      </c>
      <c r="AA187" t="s">
        <v>46</v>
      </c>
      <c r="AB187" s="2" t="s">
        <v>1044</v>
      </c>
      <c r="AC187" t="s">
        <v>43</v>
      </c>
      <c r="AD187" t="s">
        <v>43</v>
      </c>
      <c r="AE187" t="s">
        <v>43</v>
      </c>
      <c r="AF187" t="s">
        <v>43</v>
      </c>
      <c r="AG187" t="s">
        <v>43</v>
      </c>
      <c r="AH187" s="2" t="s">
        <v>43</v>
      </c>
    </row>
    <row r="188" spans="1:34" ht="165">
      <c r="A188" s="6" t="s">
        <v>390</v>
      </c>
      <c r="B188" s="7">
        <v>46090</v>
      </c>
      <c r="C188" s="9" t="str">
        <f>HYPERLINK("https://eping.wto.org/en/Search?viewData= G/TBT/N/BDI/725, G/TBT/N/KEN/1998, G/TBT/N/RWA/1367, G/TBT/N/TZA/1522, G/TBT/N/UGA/2324"," G/TBT/N/BDI/725, G/TBT/N/KEN/1998, G/TBT/N/RWA/1367, G/TBT/N/TZA/1522, G/TBT/N/UGA/2324")</f>
        <v xml:space="preserve"> G/TBT/N/BDI/725, G/TBT/N/KEN/1998, G/TBT/N/RWA/1367, G/TBT/N/TZA/1522, G/TBT/N/UGA/2324</v>
      </c>
      <c r="D188" s="8" t="s">
        <v>1038</v>
      </c>
      <c r="E188" s="8" t="s">
        <v>1039</v>
      </c>
      <c r="F188" s="8" t="s">
        <v>1040</v>
      </c>
      <c r="G188" s="8" t="s">
        <v>452</v>
      </c>
      <c r="H188" s="8" t="s">
        <v>1041</v>
      </c>
      <c r="I188" s="8" t="s">
        <v>1042</v>
      </c>
      <c r="J188" s="8" t="s">
        <v>43</v>
      </c>
      <c r="K188" s="8" t="s">
        <v>240</v>
      </c>
      <c r="L188" s="6"/>
      <c r="M188" s="7">
        <v>46150</v>
      </c>
      <c r="N188" s="7" t="s">
        <v>79</v>
      </c>
      <c r="O188" s="7" t="s">
        <v>79</v>
      </c>
      <c r="P188" s="6" t="s">
        <v>62</v>
      </c>
      <c r="Q188" s="8" t="s">
        <v>1043</v>
      </c>
      <c r="R188" t="str">
        <f>HYPERLINK("https://docs.wto.org/imrd/directdoc.asp?DDFDocuments/t/G/TBTN26/BDI725.docx", "https://docs.wto.org/imrd/directdoc.asp?DDFDocuments/t/G/TBTN26/BDI725.docx")</f>
        <v>https://docs.wto.org/imrd/directdoc.asp?DDFDocuments/t/G/TBTN26/BDI725.docx</v>
      </c>
      <c r="S188" t="str">
        <f>HYPERLINK("https://docs.wto.org/imrd/directdoc.asp?DDFDocuments/u/G/TBTN26/BDI725.docx", "https://docs.wto.org/imrd/directdoc.asp?DDFDocuments/u/G/TBTN26/BDI725.docx")</f>
        <v>https://docs.wto.org/imrd/directdoc.asp?DDFDocuments/u/G/TBTN26/BDI725.docx</v>
      </c>
      <c r="T188" t="str">
        <f>HYPERLINK("https://docs.wto.org/imrd/directdoc.asp?DDFDocuments/v/G/TBTN26/BDI725.docx", "https://docs.wto.org/imrd/directdoc.asp?DDFDocuments/v/G/TBTN26/BDI725.docx")</f>
        <v>https://docs.wto.org/imrd/directdoc.asp?DDFDocuments/v/G/TBTN26/BDI725.docx</v>
      </c>
      <c r="U188" t="s">
        <v>46</v>
      </c>
      <c r="V188" t="s">
        <v>46</v>
      </c>
      <c r="W188" t="s">
        <v>64</v>
      </c>
      <c r="X188" t="s">
        <v>46</v>
      </c>
      <c r="Y188" t="s">
        <v>46</v>
      </c>
      <c r="Z188" t="s">
        <v>46</v>
      </c>
      <c r="AA188" t="s">
        <v>46</v>
      </c>
      <c r="AB188" s="2" t="s">
        <v>1044</v>
      </c>
      <c r="AC188" t="s">
        <v>43</v>
      </c>
      <c r="AD188" t="s">
        <v>43</v>
      </c>
      <c r="AE188" t="s">
        <v>43</v>
      </c>
      <c r="AF188" t="s">
        <v>43</v>
      </c>
      <c r="AG188" t="s">
        <v>43</v>
      </c>
      <c r="AH188" s="2" t="s">
        <v>43</v>
      </c>
    </row>
    <row r="189" spans="1:34" ht="60">
      <c r="A189" s="6" t="s">
        <v>880</v>
      </c>
      <c r="B189" s="7">
        <v>46090</v>
      </c>
      <c r="C189" s="9" t="str">
        <f>HYPERLINK("https://eping.wto.org/en/Search?viewData= G/SPS/N/ECU/388"," G/SPS/N/ECU/388")</f>
        <v xml:space="preserve"> G/SPS/N/ECU/388</v>
      </c>
      <c r="D189" s="8" t="s">
        <v>1045</v>
      </c>
      <c r="E189" s="8" t="s">
        <v>1046</v>
      </c>
      <c r="F189" s="8" t="s">
        <v>1047</v>
      </c>
      <c r="G189" s="8" t="s">
        <v>1048</v>
      </c>
      <c r="H189" s="8" t="s">
        <v>43</v>
      </c>
      <c r="I189" s="8" t="s">
        <v>254</v>
      </c>
      <c r="J189" s="8" t="s">
        <v>43</v>
      </c>
      <c r="K189" s="8" t="s">
        <v>512</v>
      </c>
      <c r="L189" s="6" t="s">
        <v>1049</v>
      </c>
      <c r="M189" s="7">
        <v>46150</v>
      </c>
      <c r="N189" s="7">
        <v>45924</v>
      </c>
      <c r="O189" s="7">
        <v>45924</v>
      </c>
      <c r="P189" s="6" t="s">
        <v>62</v>
      </c>
      <c r="Q189" s="8" t="s">
        <v>1050</v>
      </c>
      <c r="R189" t="str">
        <f>HYPERLINK("https://docs.wto.org/imrd/directdoc.asp?DDFDocuments/t/G/SPS/NECU388.docx", "https://docs.wto.org/imrd/directdoc.asp?DDFDocuments/t/G/SPS/NECU388.docx")</f>
        <v>https://docs.wto.org/imrd/directdoc.asp?DDFDocuments/t/G/SPS/NECU388.docx</v>
      </c>
      <c r="S189" t="str">
        <f>HYPERLINK("https://docs.wto.org/imrd/directdoc.asp?DDFDocuments/u/G/SPS/NECU388.docx", "https://docs.wto.org/imrd/directdoc.asp?DDFDocuments/u/G/SPS/NECU388.docx")</f>
        <v>https://docs.wto.org/imrd/directdoc.asp?DDFDocuments/u/G/SPS/NECU388.docx</v>
      </c>
      <c r="T189" t="str">
        <f>HYPERLINK("https://docs.wto.org/imrd/directdoc.asp?DDFDocuments/v/G/SPS/NECU388.docx", "https://docs.wto.org/imrd/directdoc.asp?DDFDocuments/v/G/SPS/NECU388.docx")</f>
        <v>https://docs.wto.org/imrd/directdoc.asp?DDFDocuments/v/G/SPS/NECU388.docx</v>
      </c>
      <c r="U189" t="s">
        <v>43</v>
      </c>
      <c r="V189" t="s">
        <v>43</v>
      </c>
      <c r="W189" t="s">
        <v>43</v>
      </c>
      <c r="X189" t="s">
        <v>43</v>
      </c>
      <c r="Y189" t="s">
        <v>43</v>
      </c>
      <c r="Z189" t="s">
        <v>43</v>
      </c>
      <c r="AA189" t="s">
        <v>43</v>
      </c>
      <c r="AB189" s="2" t="s">
        <v>43</v>
      </c>
      <c r="AC189" t="s">
        <v>46</v>
      </c>
      <c r="AD189" t="s">
        <v>46</v>
      </c>
      <c r="AE189" t="s">
        <v>64</v>
      </c>
      <c r="AF189" t="s">
        <v>46</v>
      </c>
      <c r="AG189" t="s">
        <v>64</v>
      </c>
      <c r="AH189" s="2" t="s">
        <v>1051</v>
      </c>
    </row>
    <row r="190" spans="1:34" ht="105">
      <c r="A190" s="6" t="s">
        <v>577</v>
      </c>
      <c r="B190" s="7">
        <v>46090</v>
      </c>
      <c r="C190" s="9" t="str">
        <f>HYPERLINK("https://eping.wto.org/en/Search?viewData= G/SPS/N/BDI/147, G/SPS/N/KEN/355, G/SPS/N/RWA/140, G/SPS/N/TZA/506, G/SPS/N/UGA/468"," G/SPS/N/BDI/147, G/SPS/N/KEN/355, G/SPS/N/RWA/140, G/SPS/N/TZA/506, G/SPS/N/UGA/468")</f>
        <v xml:space="preserve"> G/SPS/N/BDI/147, G/SPS/N/KEN/355, G/SPS/N/RWA/140, G/SPS/N/TZA/506, G/SPS/N/UGA/468</v>
      </c>
      <c r="D190" s="8" t="s">
        <v>1052</v>
      </c>
      <c r="E190" s="8" t="s">
        <v>1053</v>
      </c>
      <c r="F190" s="8" t="s">
        <v>1040</v>
      </c>
      <c r="G190" s="8" t="s">
        <v>452</v>
      </c>
      <c r="H190" s="8" t="s">
        <v>1041</v>
      </c>
      <c r="I190" s="8" t="s">
        <v>1054</v>
      </c>
      <c r="J190" s="8" t="s">
        <v>43</v>
      </c>
      <c r="K190" s="8" t="s">
        <v>1055</v>
      </c>
      <c r="L190" s="6"/>
      <c r="M190" s="7">
        <v>46150</v>
      </c>
      <c r="N190" s="7" t="s">
        <v>304</v>
      </c>
      <c r="O190" s="7" t="s">
        <v>304</v>
      </c>
      <c r="P190" s="6" t="s">
        <v>62</v>
      </c>
      <c r="Q190" s="8" t="s">
        <v>1056</v>
      </c>
      <c r="R190" t="str">
        <f>HYPERLINK("https://docs.wto.org/imrd/directdoc.asp?DDFDocuments/t/G/SPS/NBDI147.docx", "https://docs.wto.org/imrd/directdoc.asp?DDFDocuments/t/G/SPS/NBDI147.docx")</f>
        <v>https://docs.wto.org/imrd/directdoc.asp?DDFDocuments/t/G/SPS/NBDI147.docx</v>
      </c>
      <c r="S190" t="str">
        <f>HYPERLINK("https://docs.wto.org/imrd/directdoc.asp?DDFDocuments/u/G/SPS/NBDI147.docx", "https://docs.wto.org/imrd/directdoc.asp?DDFDocuments/u/G/SPS/NBDI147.docx")</f>
        <v>https://docs.wto.org/imrd/directdoc.asp?DDFDocuments/u/G/SPS/NBDI147.docx</v>
      </c>
      <c r="T190" t="str">
        <f>HYPERLINK("https://docs.wto.org/imrd/directdoc.asp?DDFDocuments/v/G/SPS/NBDI147.docx", "https://docs.wto.org/imrd/directdoc.asp?DDFDocuments/v/G/SPS/NBDI147.docx")</f>
        <v>https://docs.wto.org/imrd/directdoc.asp?DDFDocuments/v/G/SPS/NBDI147.docx</v>
      </c>
      <c r="U190" t="s">
        <v>43</v>
      </c>
      <c r="V190" t="s">
        <v>43</v>
      </c>
      <c r="W190" t="s">
        <v>43</v>
      </c>
      <c r="X190" t="s">
        <v>43</v>
      </c>
      <c r="Y190" t="s">
        <v>43</v>
      </c>
      <c r="Z190" t="s">
        <v>43</v>
      </c>
      <c r="AA190" t="s">
        <v>43</v>
      </c>
      <c r="AB190" s="2" t="s">
        <v>43</v>
      </c>
      <c r="AC190" t="s">
        <v>46</v>
      </c>
      <c r="AD190" t="s">
        <v>46</v>
      </c>
      <c r="AE190" t="s">
        <v>46</v>
      </c>
      <c r="AF190" t="s">
        <v>64</v>
      </c>
      <c r="AG190" t="s">
        <v>99</v>
      </c>
      <c r="AH190" s="2" t="s">
        <v>43</v>
      </c>
    </row>
    <row r="191" spans="1:34" ht="105">
      <c r="A191" s="6" t="s">
        <v>390</v>
      </c>
      <c r="B191" s="7">
        <v>46090</v>
      </c>
      <c r="C191" s="9" t="str">
        <f>HYPERLINK("https://eping.wto.org/en/Search?viewData= G/SPS/N/BDI/147, G/SPS/N/KEN/355, G/SPS/N/RWA/140, G/SPS/N/TZA/506, G/SPS/N/UGA/468"," G/SPS/N/BDI/147, G/SPS/N/KEN/355, G/SPS/N/RWA/140, G/SPS/N/TZA/506, G/SPS/N/UGA/468")</f>
        <v xml:space="preserve"> G/SPS/N/BDI/147, G/SPS/N/KEN/355, G/SPS/N/RWA/140, G/SPS/N/TZA/506, G/SPS/N/UGA/468</v>
      </c>
      <c r="D191" s="8" t="s">
        <v>1052</v>
      </c>
      <c r="E191" s="8" t="s">
        <v>1053</v>
      </c>
      <c r="F191" s="8" t="s">
        <v>1040</v>
      </c>
      <c r="G191" s="8" t="s">
        <v>452</v>
      </c>
      <c r="H191" s="8" t="s">
        <v>1041</v>
      </c>
      <c r="I191" s="8" t="s">
        <v>1054</v>
      </c>
      <c r="J191" s="8" t="s">
        <v>43</v>
      </c>
      <c r="K191" s="8" t="s">
        <v>1055</v>
      </c>
      <c r="L191" s="6"/>
      <c r="M191" s="7">
        <v>46150</v>
      </c>
      <c r="N191" s="7" t="s">
        <v>304</v>
      </c>
      <c r="O191" s="7" t="s">
        <v>304</v>
      </c>
      <c r="P191" s="6" t="s">
        <v>62</v>
      </c>
      <c r="Q191" s="8" t="s">
        <v>1056</v>
      </c>
      <c r="R191" t="str">
        <f>HYPERLINK("https://docs.wto.org/imrd/directdoc.asp?DDFDocuments/t/G/SPS/NBDI147.docx", "https://docs.wto.org/imrd/directdoc.asp?DDFDocuments/t/G/SPS/NBDI147.docx")</f>
        <v>https://docs.wto.org/imrd/directdoc.asp?DDFDocuments/t/G/SPS/NBDI147.docx</v>
      </c>
      <c r="S191" t="str">
        <f>HYPERLINK("https://docs.wto.org/imrd/directdoc.asp?DDFDocuments/u/G/SPS/NBDI147.docx", "https://docs.wto.org/imrd/directdoc.asp?DDFDocuments/u/G/SPS/NBDI147.docx")</f>
        <v>https://docs.wto.org/imrd/directdoc.asp?DDFDocuments/u/G/SPS/NBDI147.docx</v>
      </c>
      <c r="T191" t="str">
        <f>HYPERLINK("https://docs.wto.org/imrd/directdoc.asp?DDFDocuments/v/G/SPS/NBDI147.docx", "https://docs.wto.org/imrd/directdoc.asp?DDFDocuments/v/G/SPS/NBDI147.docx")</f>
        <v>https://docs.wto.org/imrd/directdoc.asp?DDFDocuments/v/G/SPS/NBDI147.docx</v>
      </c>
      <c r="U191" t="s">
        <v>43</v>
      </c>
      <c r="V191" t="s">
        <v>43</v>
      </c>
      <c r="W191" t="s">
        <v>43</v>
      </c>
      <c r="X191" t="s">
        <v>43</v>
      </c>
      <c r="Y191" t="s">
        <v>43</v>
      </c>
      <c r="Z191" t="s">
        <v>43</v>
      </c>
      <c r="AA191" t="s">
        <v>43</v>
      </c>
      <c r="AB191" s="2" t="s">
        <v>43</v>
      </c>
      <c r="AC191" t="s">
        <v>46</v>
      </c>
      <c r="AD191" t="s">
        <v>46</v>
      </c>
      <c r="AE191" t="s">
        <v>46</v>
      </c>
      <c r="AF191" t="s">
        <v>64</v>
      </c>
      <c r="AG191" t="s">
        <v>99</v>
      </c>
      <c r="AH191" s="2" t="s">
        <v>43</v>
      </c>
    </row>
    <row r="192" spans="1:34" ht="165">
      <c r="A192" s="6" t="s">
        <v>124</v>
      </c>
      <c r="B192" s="7">
        <v>46090</v>
      </c>
      <c r="C192" s="9" t="str">
        <f>HYPERLINK("https://eping.wto.org/en/Search?viewData= G/TBT/N/BDI/725, G/TBT/N/KEN/1998, G/TBT/N/RWA/1367, G/TBT/N/TZA/1522, G/TBT/N/UGA/2324"," G/TBT/N/BDI/725, G/TBT/N/KEN/1998, G/TBT/N/RWA/1367, G/TBT/N/TZA/1522, G/TBT/N/UGA/2324")</f>
        <v xml:space="preserve"> G/TBT/N/BDI/725, G/TBT/N/KEN/1998, G/TBT/N/RWA/1367, G/TBT/N/TZA/1522, G/TBT/N/UGA/2324</v>
      </c>
      <c r="D192" s="8" t="s">
        <v>1038</v>
      </c>
      <c r="E192" s="8" t="s">
        <v>1039</v>
      </c>
      <c r="F192" s="8" t="s">
        <v>1040</v>
      </c>
      <c r="G192" s="8" t="s">
        <v>452</v>
      </c>
      <c r="H192" s="8" t="s">
        <v>1041</v>
      </c>
      <c r="I192" s="8" t="s">
        <v>1042</v>
      </c>
      <c r="J192" s="8" t="s">
        <v>43</v>
      </c>
      <c r="K192" s="8" t="s">
        <v>240</v>
      </c>
      <c r="L192" s="6"/>
      <c r="M192" s="7">
        <v>46150</v>
      </c>
      <c r="N192" s="7" t="s">
        <v>79</v>
      </c>
      <c r="O192" s="7" t="s">
        <v>79</v>
      </c>
      <c r="P192" s="6" t="s">
        <v>62</v>
      </c>
      <c r="Q192" s="8" t="s">
        <v>1043</v>
      </c>
      <c r="R192" t="str">
        <f>HYPERLINK("https://docs.wto.org/imrd/directdoc.asp?DDFDocuments/t/G/TBTN26/BDI725.docx", "https://docs.wto.org/imrd/directdoc.asp?DDFDocuments/t/G/TBTN26/BDI725.docx")</f>
        <v>https://docs.wto.org/imrd/directdoc.asp?DDFDocuments/t/G/TBTN26/BDI725.docx</v>
      </c>
      <c r="S192" t="str">
        <f>HYPERLINK("https://docs.wto.org/imrd/directdoc.asp?DDFDocuments/u/G/TBTN26/BDI725.docx", "https://docs.wto.org/imrd/directdoc.asp?DDFDocuments/u/G/TBTN26/BDI725.docx")</f>
        <v>https://docs.wto.org/imrd/directdoc.asp?DDFDocuments/u/G/TBTN26/BDI725.docx</v>
      </c>
      <c r="T192" t="str">
        <f>HYPERLINK("https://docs.wto.org/imrd/directdoc.asp?DDFDocuments/v/G/TBTN26/BDI725.docx", "https://docs.wto.org/imrd/directdoc.asp?DDFDocuments/v/G/TBTN26/BDI725.docx")</f>
        <v>https://docs.wto.org/imrd/directdoc.asp?DDFDocuments/v/G/TBTN26/BDI725.docx</v>
      </c>
      <c r="U192" t="s">
        <v>46</v>
      </c>
      <c r="V192" t="s">
        <v>46</v>
      </c>
      <c r="W192" t="s">
        <v>64</v>
      </c>
      <c r="X192" t="s">
        <v>46</v>
      </c>
      <c r="Y192" t="s">
        <v>46</v>
      </c>
      <c r="Z192" t="s">
        <v>46</v>
      </c>
      <c r="AA192" t="s">
        <v>46</v>
      </c>
      <c r="AB192" s="2" t="s">
        <v>1044</v>
      </c>
      <c r="AC192" t="s">
        <v>43</v>
      </c>
      <c r="AD192" t="s">
        <v>43</v>
      </c>
      <c r="AE192" t="s">
        <v>43</v>
      </c>
      <c r="AF192" t="s">
        <v>43</v>
      </c>
      <c r="AG192" t="s">
        <v>43</v>
      </c>
      <c r="AH192" s="2" t="s">
        <v>43</v>
      </c>
    </row>
    <row r="193" spans="1:34" ht="60">
      <c r="A193" s="6" t="s">
        <v>47</v>
      </c>
      <c r="B193" s="7">
        <v>46090</v>
      </c>
      <c r="C193" s="9" t="str">
        <f>HYPERLINK("https://eping.wto.org/en/Search?viewData= G/SPS/N/CAN/1637"," G/SPS/N/CAN/1637")</f>
        <v xml:space="preserve"> G/SPS/N/CAN/1637</v>
      </c>
      <c r="D193" s="8" t="s">
        <v>1057</v>
      </c>
      <c r="E193" s="8" t="s">
        <v>1058</v>
      </c>
      <c r="F193" s="8" t="s">
        <v>1059</v>
      </c>
      <c r="G193" s="8" t="s">
        <v>43</v>
      </c>
      <c r="H193" s="8" t="s">
        <v>1060</v>
      </c>
      <c r="I193" s="8" t="s">
        <v>58</v>
      </c>
      <c r="J193" s="8" t="s">
        <v>43</v>
      </c>
      <c r="K193" s="8" t="s">
        <v>1061</v>
      </c>
      <c r="L193" s="6" t="s">
        <v>43</v>
      </c>
      <c r="M193" s="7">
        <v>46154</v>
      </c>
      <c r="N193" s="7" t="s">
        <v>1062</v>
      </c>
      <c r="O193" s="7" t="s">
        <v>1063</v>
      </c>
      <c r="P193" s="6" t="s">
        <v>62</v>
      </c>
      <c r="Q193" s="6"/>
      <c r="R193" t="str">
        <f>HYPERLINK("https://docs.wto.org/imrd/directdoc.asp?DDFDocuments/t/G/SPS/NCAN1637.docx", "https://docs.wto.org/imrd/directdoc.asp?DDFDocuments/t/G/SPS/NCAN1637.docx")</f>
        <v>https://docs.wto.org/imrd/directdoc.asp?DDFDocuments/t/G/SPS/NCAN1637.docx</v>
      </c>
      <c r="S193" t="str">
        <f>HYPERLINK("https://docs.wto.org/imrd/directdoc.asp?DDFDocuments/u/G/SPS/NCAN1637.docx", "https://docs.wto.org/imrd/directdoc.asp?DDFDocuments/u/G/SPS/NCAN1637.docx")</f>
        <v>https://docs.wto.org/imrd/directdoc.asp?DDFDocuments/u/G/SPS/NCAN1637.docx</v>
      </c>
      <c r="T193" t="str">
        <f>HYPERLINK("https://docs.wto.org/imrd/directdoc.asp?DDFDocuments/v/G/SPS/NCAN1637.docx", "https://docs.wto.org/imrd/directdoc.asp?DDFDocuments/v/G/SPS/NCAN1637.docx")</f>
        <v>https://docs.wto.org/imrd/directdoc.asp?DDFDocuments/v/G/SPS/NCAN1637.docx</v>
      </c>
      <c r="U193" t="s">
        <v>43</v>
      </c>
      <c r="V193" t="s">
        <v>43</v>
      </c>
      <c r="W193" t="s">
        <v>43</v>
      </c>
      <c r="X193" t="s">
        <v>43</v>
      </c>
      <c r="Y193" t="s">
        <v>43</v>
      </c>
      <c r="Z193" t="s">
        <v>43</v>
      </c>
      <c r="AA193" t="s">
        <v>43</v>
      </c>
      <c r="AB193" s="2" t="s">
        <v>43</v>
      </c>
      <c r="AC193" t="s">
        <v>64</v>
      </c>
      <c r="AD193" t="s">
        <v>46</v>
      </c>
      <c r="AE193" t="s">
        <v>46</v>
      </c>
      <c r="AF193" t="s">
        <v>46</v>
      </c>
      <c r="AG193" t="s">
        <v>46</v>
      </c>
      <c r="AH193" s="2" t="s">
        <v>1064</v>
      </c>
    </row>
    <row r="194" spans="1:34" ht="195">
      <c r="A194" s="6" t="s">
        <v>132</v>
      </c>
      <c r="B194" s="7">
        <v>46090</v>
      </c>
      <c r="C194" s="9" t="str">
        <f>HYPERLINK("https://eping.wto.org/en/Search?viewData= G/TBT/N/USA/1899/Add.1"," G/TBT/N/USA/1899/Add.1")</f>
        <v xml:space="preserve"> G/TBT/N/USA/1899/Add.1</v>
      </c>
      <c r="D194" s="8" t="s">
        <v>1065</v>
      </c>
      <c r="E194" s="8" t="s">
        <v>1066</v>
      </c>
      <c r="F194" s="8" t="s">
        <v>1067</v>
      </c>
      <c r="G194" s="8" t="s">
        <v>43</v>
      </c>
      <c r="H194" s="8" t="s">
        <v>1068</v>
      </c>
      <c r="I194" s="8" t="s">
        <v>1069</v>
      </c>
      <c r="J194" s="8"/>
      <c r="K194" s="8" t="s">
        <v>42</v>
      </c>
      <c r="L194" s="6"/>
      <c r="M194" s="7" t="s">
        <v>43</v>
      </c>
      <c r="N194" s="7"/>
      <c r="O194" s="7"/>
      <c r="P194" s="6" t="s">
        <v>44</v>
      </c>
      <c r="Q194" s="8" t="s">
        <v>1070</v>
      </c>
      <c r="R194" t="str">
        <f>HYPERLINK("https://docs.wto.org/imrd/directdoc.asp?DDFDocuments/t/G/TBTN22/USA1899A1.docx", "https://docs.wto.org/imrd/directdoc.asp?DDFDocuments/t/G/TBTN22/USA1899A1.docx")</f>
        <v>https://docs.wto.org/imrd/directdoc.asp?DDFDocuments/t/G/TBTN22/USA1899A1.docx</v>
      </c>
      <c r="S194" t="str">
        <f>HYPERLINK("https://docs.wto.org/imrd/directdoc.asp?DDFDocuments/u/G/TBTN22/USA1899A1.docx", "https://docs.wto.org/imrd/directdoc.asp?DDFDocuments/u/G/TBTN22/USA1899A1.docx")</f>
        <v>https://docs.wto.org/imrd/directdoc.asp?DDFDocuments/u/G/TBTN22/USA1899A1.docx</v>
      </c>
      <c r="T194" t="str">
        <f>HYPERLINK("https://docs.wto.org/imrd/directdoc.asp?DDFDocuments/v/G/TBTN22/USA1899A1.docx", "https://docs.wto.org/imrd/directdoc.asp?DDFDocuments/v/G/TBTN22/USA1899A1.docx")</f>
        <v>https://docs.wto.org/imrd/directdoc.asp?DDFDocuments/v/G/TBTN22/USA1899A1.docx</v>
      </c>
      <c r="U194" t="s">
        <v>64</v>
      </c>
      <c r="V194" t="s">
        <v>46</v>
      </c>
      <c r="W194" t="s">
        <v>46</v>
      </c>
      <c r="X194" t="s">
        <v>46</v>
      </c>
      <c r="Y194" t="s">
        <v>46</v>
      </c>
      <c r="Z194" t="s">
        <v>46</v>
      </c>
      <c r="AA194" t="s">
        <v>46</v>
      </c>
      <c r="AB194" s="2" t="s">
        <v>43</v>
      </c>
      <c r="AC194" t="s">
        <v>43</v>
      </c>
      <c r="AD194" t="s">
        <v>43</v>
      </c>
      <c r="AE194" t="s">
        <v>43</v>
      </c>
      <c r="AF194" t="s">
        <v>43</v>
      </c>
      <c r="AG194" t="s">
        <v>43</v>
      </c>
      <c r="AH194" s="2" t="s">
        <v>43</v>
      </c>
    </row>
    <row r="195" spans="1:34" ht="165">
      <c r="A195" s="6" t="s">
        <v>1071</v>
      </c>
      <c r="B195" s="7">
        <v>46090</v>
      </c>
      <c r="C195" s="9" t="str">
        <f>HYPERLINK("https://eping.wto.org/en/Search?viewData= G/TBT/N/SVN/129"," G/TBT/N/SVN/129")</f>
        <v xml:space="preserve"> G/TBT/N/SVN/129</v>
      </c>
      <c r="D195" s="8" t="s">
        <v>1072</v>
      </c>
      <c r="E195" s="8" t="s">
        <v>1073</v>
      </c>
      <c r="F195" s="8" t="s">
        <v>1074</v>
      </c>
      <c r="G195" s="8" t="s">
        <v>43</v>
      </c>
      <c r="H195" s="8" t="s">
        <v>1075</v>
      </c>
      <c r="I195" s="8" t="s">
        <v>275</v>
      </c>
      <c r="J195" s="8" t="s">
        <v>43</v>
      </c>
      <c r="K195" s="8" t="s">
        <v>43</v>
      </c>
      <c r="L195" s="6"/>
      <c r="M195" s="7">
        <v>46150</v>
      </c>
      <c r="N195" s="7" t="s">
        <v>79</v>
      </c>
      <c r="O195" s="7" t="s">
        <v>79</v>
      </c>
      <c r="P195" s="6" t="s">
        <v>62</v>
      </c>
      <c r="Q195" s="8" t="s">
        <v>1076</v>
      </c>
      <c r="R195" t="str">
        <f>HYPERLINK("https://docs.wto.org/imrd/directdoc.asp?DDFDocuments/t/G/TBTN26/SVN129.docx", "https://docs.wto.org/imrd/directdoc.asp?DDFDocuments/t/G/TBTN26/SVN129.docx")</f>
        <v>https://docs.wto.org/imrd/directdoc.asp?DDFDocuments/t/G/TBTN26/SVN129.docx</v>
      </c>
      <c r="S195" t="str">
        <f>HYPERLINK("https://docs.wto.org/imrd/directdoc.asp?DDFDocuments/u/G/TBTN26/SVN129.docx", "https://docs.wto.org/imrd/directdoc.asp?DDFDocuments/u/G/TBTN26/SVN129.docx")</f>
        <v>https://docs.wto.org/imrd/directdoc.asp?DDFDocuments/u/G/TBTN26/SVN129.docx</v>
      </c>
      <c r="T195" t="str">
        <f>HYPERLINK("https://docs.wto.org/imrd/directdoc.asp?DDFDocuments/v/G/TBTN26/SVN129.docx", "https://docs.wto.org/imrd/directdoc.asp?DDFDocuments/v/G/TBTN26/SVN129.docx")</f>
        <v>https://docs.wto.org/imrd/directdoc.asp?DDFDocuments/v/G/TBTN26/SVN129.docx</v>
      </c>
      <c r="U195" t="s">
        <v>64</v>
      </c>
      <c r="V195" t="s">
        <v>46</v>
      </c>
      <c r="W195" t="s">
        <v>46</v>
      </c>
      <c r="X195" t="s">
        <v>46</v>
      </c>
      <c r="Y195" t="s">
        <v>46</v>
      </c>
      <c r="Z195" t="s">
        <v>46</v>
      </c>
      <c r="AA195" t="s">
        <v>46</v>
      </c>
      <c r="AB195" s="2" t="s">
        <v>1077</v>
      </c>
      <c r="AC195" t="s">
        <v>43</v>
      </c>
      <c r="AD195" t="s">
        <v>43</v>
      </c>
      <c r="AE195" t="s">
        <v>43</v>
      </c>
      <c r="AF195" t="s">
        <v>43</v>
      </c>
      <c r="AG195" t="s">
        <v>43</v>
      </c>
      <c r="AH195" s="2" t="s">
        <v>43</v>
      </c>
    </row>
    <row r="196" spans="1:34" ht="60">
      <c r="A196" s="6" t="s">
        <v>880</v>
      </c>
      <c r="B196" s="7">
        <v>46090</v>
      </c>
      <c r="C196" s="9" t="str">
        <f>HYPERLINK("https://eping.wto.org/en/Search?viewData= G/SPS/N/ECU/391"," G/SPS/N/ECU/391")</f>
        <v xml:space="preserve"> G/SPS/N/ECU/391</v>
      </c>
      <c r="D196" s="8" t="s">
        <v>1078</v>
      </c>
      <c r="E196" s="8" t="s">
        <v>1079</v>
      </c>
      <c r="F196" s="8" t="s">
        <v>1080</v>
      </c>
      <c r="G196" s="8" t="s">
        <v>1081</v>
      </c>
      <c r="H196" s="8" t="s">
        <v>43</v>
      </c>
      <c r="I196" s="8" t="s">
        <v>254</v>
      </c>
      <c r="J196" s="8" t="s">
        <v>43</v>
      </c>
      <c r="K196" s="8" t="s">
        <v>512</v>
      </c>
      <c r="L196" s="6" t="s">
        <v>1049</v>
      </c>
      <c r="M196" s="7">
        <v>46150</v>
      </c>
      <c r="N196" s="7">
        <v>45924</v>
      </c>
      <c r="O196" s="7">
        <v>45924</v>
      </c>
      <c r="P196" s="6" t="s">
        <v>62</v>
      </c>
      <c r="Q196" s="8" t="s">
        <v>1082</v>
      </c>
      <c r="R196" t="str">
        <f>HYPERLINK("https://docs.wto.org/imrd/directdoc.asp?DDFDocuments/t/G/SPS/NECU391.docx", "https://docs.wto.org/imrd/directdoc.asp?DDFDocuments/t/G/SPS/NECU391.docx")</f>
        <v>https://docs.wto.org/imrd/directdoc.asp?DDFDocuments/t/G/SPS/NECU391.docx</v>
      </c>
      <c r="S196" t="str">
        <f>HYPERLINK("https://docs.wto.org/imrd/directdoc.asp?DDFDocuments/u/G/SPS/NECU391.docx", "https://docs.wto.org/imrd/directdoc.asp?DDFDocuments/u/G/SPS/NECU391.docx")</f>
        <v>https://docs.wto.org/imrd/directdoc.asp?DDFDocuments/u/G/SPS/NECU391.docx</v>
      </c>
      <c r="T196" t="str">
        <f>HYPERLINK("https://docs.wto.org/imrd/directdoc.asp?DDFDocuments/v/G/SPS/NECU391.docx", "https://docs.wto.org/imrd/directdoc.asp?DDFDocuments/v/G/SPS/NECU391.docx")</f>
        <v>https://docs.wto.org/imrd/directdoc.asp?DDFDocuments/v/G/SPS/NECU391.docx</v>
      </c>
      <c r="U196" t="s">
        <v>43</v>
      </c>
      <c r="V196" t="s">
        <v>43</v>
      </c>
      <c r="W196" t="s">
        <v>43</v>
      </c>
      <c r="X196" t="s">
        <v>43</v>
      </c>
      <c r="Y196" t="s">
        <v>43</v>
      </c>
      <c r="Z196" t="s">
        <v>43</v>
      </c>
      <c r="AA196" t="s">
        <v>43</v>
      </c>
      <c r="AB196" s="2" t="s">
        <v>43</v>
      </c>
      <c r="AC196" t="s">
        <v>46</v>
      </c>
      <c r="AD196" t="s">
        <v>46</v>
      </c>
      <c r="AE196" t="s">
        <v>64</v>
      </c>
      <c r="AF196" t="s">
        <v>46</v>
      </c>
      <c r="AG196" t="s">
        <v>64</v>
      </c>
      <c r="AH196" s="2" t="s">
        <v>1083</v>
      </c>
    </row>
    <row r="197" spans="1:34" ht="165">
      <c r="A197" s="6" t="s">
        <v>577</v>
      </c>
      <c r="B197" s="7">
        <v>46090</v>
      </c>
      <c r="C197" s="9" t="str">
        <f>HYPERLINK("https://eping.wto.org/en/Search?viewData= G/TBT/N/BDI/725, G/TBT/N/KEN/1998, G/TBT/N/RWA/1367, G/TBT/N/TZA/1522, G/TBT/N/UGA/2324"," G/TBT/N/BDI/725, G/TBT/N/KEN/1998, G/TBT/N/RWA/1367, G/TBT/N/TZA/1522, G/TBT/N/UGA/2324")</f>
        <v xml:space="preserve"> G/TBT/N/BDI/725, G/TBT/N/KEN/1998, G/TBT/N/RWA/1367, G/TBT/N/TZA/1522, G/TBT/N/UGA/2324</v>
      </c>
      <c r="D197" s="8" t="s">
        <v>1038</v>
      </c>
      <c r="E197" s="8" t="s">
        <v>1039</v>
      </c>
      <c r="F197" s="8" t="s">
        <v>1040</v>
      </c>
      <c r="G197" s="8" t="s">
        <v>452</v>
      </c>
      <c r="H197" s="8" t="s">
        <v>1041</v>
      </c>
      <c r="I197" s="8" t="s">
        <v>1042</v>
      </c>
      <c r="J197" s="8" t="s">
        <v>43</v>
      </c>
      <c r="K197" s="8" t="s">
        <v>240</v>
      </c>
      <c r="L197" s="6"/>
      <c r="M197" s="7">
        <v>46150</v>
      </c>
      <c r="N197" s="7" t="s">
        <v>79</v>
      </c>
      <c r="O197" s="7" t="s">
        <v>79</v>
      </c>
      <c r="P197" s="6" t="s">
        <v>62</v>
      </c>
      <c r="Q197" s="8" t="s">
        <v>1043</v>
      </c>
      <c r="R197" t="str">
        <f>HYPERLINK("https://docs.wto.org/imrd/directdoc.asp?DDFDocuments/t/G/TBTN26/BDI725.docx", "https://docs.wto.org/imrd/directdoc.asp?DDFDocuments/t/G/TBTN26/BDI725.docx")</f>
        <v>https://docs.wto.org/imrd/directdoc.asp?DDFDocuments/t/G/TBTN26/BDI725.docx</v>
      </c>
      <c r="S197" t="str">
        <f>HYPERLINK("https://docs.wto.org/imrd/directdoc.asp?DDFDocuments/u/G/TBTN26/BDI725.docx", "https://docs.wto.org/imrd/directdoc.asp?DDFDocuments/u/G/TBTN26/BDI725.docx")</f>
        <v>https://docs.wto.org/imrd/directdoc.asp?DDFDocuments/u/G/TBTN26/BDI725.docx</v>
      </c>
      <c r="T197" t="str">
        <f>HYPERLINK("https://docs.wto.org/imrd/directdoc.asp?DDFDocuments/v/G/TBTN26/BDI725.docx", "https://docs.wto.org/imrd/directdoc.asp?DDFDocuments/v/G/TBTN26/BDI725.docx")</f>
        <v>https://docs.wto.org/imrd/directdoc.asp?DDFDocuments/v/G/TBTN26/BDI725.docx</v>
      </c>
      <c r="U197" t="s">
        <v>46</v>
      </c>
      <c r="V197" t="s">
        <v>46</v>
      </c>
      <c r="W197" t="s">
        <v>64</v>
      </c>
      <c r="X197" t="s">
        <v>46</v>
      </c>
      <c r="Y197" t="s">
        <v>46</v>
      </c>
      <c r="Z197" t="s">
        <v>46</v>
      </c>
      <c r="AA197" t="s">
        <v>46</v>
      </c>
      <c r="AB197" s="2" t="s">
        <v>1044</v>
      </c>
      <c r="AC197" t="s">
        <v>43</v>
      </c>
      <c r="AD197" t="s">
        <v>43</v>
      </c>
      <c r="AE197" t="s">
        <v>43</v>
      </c>
      <c r="AF197" t="s">
        <v>43</v>
      </c>
      <c r="AG197" t="s">
        <v>43</v>
      </c>
      <c r="AH197" s="2" t="s">
        <v>43</v>
      </c>
    </row>
    <row r="198" spans="1:34" ht="120">
      <c r="A198" s="6" t="s">
        <v>892</v>
      </c>
      <c r="B198" s="7">
        <v>46090</v>
      </c>
      <c r="C198" s="9" t="str">
        <f>HYPERLINK("https://eping.wto.org/en/Search?viewData= G/TBT/N/PAN/160"," G/TBT/N/PAN/160")</f>
        <v xml:space="preserve"> G/TBT/N/PAN/160</v>
      </c>
      <c r="D198" s="8" t="s">
        <v>1084</v>
      </c>
      <c r="E198" s="8" t="s">
        <v>1085</v>
      </c>
      <c r="F198" s="8" t="s">
        <v>1086</v>
      </c>
      <c r="G198" s="8" t="s">
        <v>43</v>
      </c>
      <c r="H198" s="8" t="s">
        <v>896</v>
      </c>
      <c r="I198" s="8" t="s">
        <v>137</v>
      </c>
      <c r="J198" s="8" t="s">
        <v>43</v>
      </c>
      <c r="K198" s="8" t="s">
        <v>240</v>
      </c>
      <c r="L198" s="6"/>
      <c r="M198" s="7">
        <v>46150</v>
      </c>
      <c r="N198" s="7" t="s">
        <v>79</v>
      </c>
      <c r="O198" s="7" t="s">
        <v>79</v>
      </c>
      <c r="P198" s="6" t="s">
        <v>62</v>
      </c>
      <c r="Q198" s="8" t="s">
        <v>1087</v>
      </c>
      <c r="R198" t="str">
        <f>HYPERLINK("https://docs.wto.org/imrd/directdoc.asp?DDFDocuments/t/G/TBTN26/PAN160.docx", "https://docs.wto.org/imrd/directdoc.asp?DDFDocuments/t/G/TBTN26/PAN160.docx")</f>
        <v>https://docs.wto.org/imrd/directdoc.asp?DDFDocuments/t/G/TBTN26/PAN160.docx</v>
      </c>
      <c r="S198" t="str">
        <f>HYPERLINK("https://docs.wto.org/imrd/directdoc.asp?DDFDocuments/u/G/TBTN26/PAN160.docx", "https://docs.wto.org/imrd/directdoc.asp?DDFDocuments/u/G/TBTN26/PAN160.docx")</f>
        <v>https://docs.wto.org/imrd/directdoc.asp?DDFDocuments/u/G/TBTN26/PAN160.docx</v>
      </c>
      <c r="T198" t="str">
        <f>HYPERLINK("https://docs.wto.org/imrd/directdoc.asp?DDFDocuments/v/G/TBTN26/PAN160.docx", "https://docs.wto.org/imrd/directdoc.asp?DDFDocuments/v/G/TBTN26/PAN160.docx")</f>
        <v>https://docs.wto.org/imrd/directdoc.asp?DDFDocuments/v/G/TBTN26/PAN160.docx</v>
      </c>
      <c r="U198" t="s">
        <v>64</v>
      </c>
      <c r="V198" t="s">
        <v>46</v>
      </c>
      <c r="W198" t="s">
        <v>46</v>
      </c>
      <c r="X198" t="s">
        <v>46</v>
      </c>
      <c r="Y198" t="s">
        <v>46</v>
      </c>
      <c r="Z198" t="s">
        <v>46</v>
      </c>
      <c r="AA198" t="s">
        <v>46</v>
      </c>
      <c r="AB198" s="2" t="s">
        <v>1088</v>
      </c>
      <c r="AC198" t="s">
        <v>43</v>
      </c>
      <c r="AD198" t="s">
        <v>43</v>
      </c>
      <c r="AE198" t="s">
        <v>43</v>
      </c>
      <c r="AF198" t="s">
        <v>43</v>
      </c>
      <c r="AG198" t="s">
        <v>43</v>
      </c>
      <c r="AH198" s="2" t="s">
        <v>43</v>
      </c>
    </row>
    <row r="199" spans="1:34" ht="330">
      <c r="A199" s="6" t="s">
        <v>124</v>
      </c>
      <c r="B199" s="7">
        <v>46090</v>
      </c>
      <c r="C199" s="9" t="str">
        <f>HYPERLINK("https://eping.wto.org/en/Search?viewData= G/TBT/N/BDI/724, G/TBT/N/KEN/1997, G/TBT/N/RWA/1366, G/TBT/N/TZA/1521, G/TBT/N/UGA/2323"," G/TBT/N/BDI/724, G/TBT/N/KEN/1997, G/TBT/N/RWA/1366, G/TBT/N/TZA/1521, G/TBT/N/UGA/2323")</f>
        <v xml:space="preserve"> G/TBT/N/BDI/724, G/TBT/N/KEN/1997, G/TBT/N/RWA/1366, G/TBT/N/TZA/1521, G/TBT/N/UGA/2323</v>
      </c>
      <c r="D199" s="8" t="s">
        <v>1031</v>
      </c>
      <c r="E199" s="8" t="s">
        <v>1032</v>
      </c>
      <c r="F199" s="8" t="s">
        <v>1033</v>
      </c>
      <c r="G199" s="8" t="s">
        <v>452</v>
      </c>
      <c r="H199" s="8" t="s">
        <v>1034</v>
      </c>
      <c r="I199" s="8" t="s">
        <v>1035</v>
      </c>
      <c r="J199" s="8" t="s">
        <v>43</v>
      </c>
      <c r="K199" s="8" t="s">
        <v>240</v>
      </c>
      <c r="L199" s="6"/>
      <c r="M199" s="7">
        <v>46150</v>
      </c>
      <c r="N199" s="7" t="s">
        <v>79</v>
      </c>
      <c r="O199" s="7" t="s">
        <v>79</v>
      </c>
      <c r="P199" s="6" t="s">
        <v>62</v>
      </c>
      <c r="Q199" s="8" t="s">
        <v>1036</v>
      </c>
      <c r="R199" t="str">
        <f>HYPERLINK("https://docs.wto.org/imrd/directdoc.asp?DDFDocuments/t/G/TBTN26/BDI724.docx", "https://docs.wto.org/imrd/directdoc.asp?DDFDocuments/t/G/TBTN26/BDI724.docx")</f>
        <v>https://docs.wto.org/imrd/directdoc.asp?DDFDocuments/t/G/TBTN26/BDI724.docx</v>
      </c>
      <c r="S199" t="str">
        <f>HYPERLINK("https://docs.wto.org/imrd/directdoc.asp?DDFDocuments/u/G/TBTN26/BDI724.docx", "https://docs.wto.org/imrd/directdoc.asp?DDFDocuments/u/G/TBTN26/BDI724.docx")</f>
        <v>https://docs.wto.org/imrd/directdoc.asp?DDFDocuments/u/G/TBTN26/BDI724.docx</v>
      </c>
      <c r="T199" t="str">
        <f>HYPERLINK("https://docs.wto.org/imrd/directdoc.asp?DDFDocuments/v/G/TBTN26/BDI724.docx", "https://docs.wto.org/imrd/directdoc.asp?DDFDocuments/v/G/TBTN26/BDI724.docx")</f>
        <v>https://docs.wto.org/imrd/directdoc.asp?DDFDocuments/v/G/TBTN26/BDI724.docx</v>
      </c>
      <c r="U199" t="s">
        <v>64</v>
      </c>
      <c r="V199" t="s">
        <v>46</v>
      </c>
      <c r="W199" t="s">
        <v>64</v>
      </c>
      <c r="X199" t="s">
        <v>46</v>
      </c>
      <c r="Y199" t="s">
        <v>46</v>
      </c>
      <c r="Z199" t="s">
        <v>46</v>
      </c>
      <c r="AA199" t="s">
        <v>46</v>
      </c>
      <c r="AB199" s="2" t="s">
        <v>1037</v>
      </c>
      <c r="AC199" t="s">
        <v>43</v>
      </c>
      <c r="AD199" t="s">
        <v>43</v>
      </c>
      <c r="AE199" t="s">
        <v>43</v>
      </c>
      <c r="AF199" t="s">
        <v>43</v>
      </c>
      <c r="AG199" t="s">
        <v>43</v>
      </c>
      <c r="AH199" s="2" t="s">
        <v>43</v>
      </c>
    </row>
    <row r="200" spans="1:34" ht="45">
      <c r="A200" s="6" t="s">
        <v>390</v>
      </c>
      <c r="B200" s="7">
        <v>46090</v>
      </c>
      <c r="C200" s="9" t="str">
        <f>HYPERLINK("https://eping.wto.org/en/Search?viewData= G/SPS/N/BDI/146, G/SPS/N/KEN/354, G/SPS/N/RWA/139, G/SPS/N/TZA/505, G/SPS/N/UGA/467"," G/SPS/N/BDI/146, G/SPS/N/KEN/354, G/SPS/N/RWA/139, G/SPS/N/TZA/505, G/SPS/N/UGA/467")</f>
        <v xml:space="preserve"> G/SPS/N/BDI/146, G/SPS/N/KEN/354, G/SPS/N/RWA/139, G/SPS/N/TZA/505, G/SPS/N/UGA/467</v>
      </c>
      <c r="D200" s="8" t="s">
        <v>1031</v>
      </c>
      <c r="E200" s="8" t="s">
        <v>1089</v>
      </c>
      <c r="F200" s="8" t="s">
        <v>1040</v>
      </c>
      <c r="G200" s="8" t="s">
        <v>452</v>
      </c>
      <c r="H200" s="8" t="s">
        <v>1041</v>
      </c>
      <c r="I200" s="8" t="s">
        <v>1090</v>
      </c>
      <c r="J200" s="8" t="s">
        <v>43</v>
      </c>
      <c r="K200" s="8" t="s">
        <v>157</v>
      </c>
      <c r="L200" s="6"/>
      <c r="M200" s="7">
        <v>46150</v>
      </c>
      <c r="N200" s="7" t="s">
        <v>304</v>
      </c>
      <c r="O200" s="7" t="s">
        <v>304</v>
      </c>
      <c r="P200" s="6" t="s">
        <v>62</v>
      </c>
      <c r="Q200" s="8" t="s">
        <v>1091</v>
      </c>
      <c r="R200" t="str">
        <f>HYPERLINK("https://docs.wto.org/imrd/directdoc.asp?DDFDocuments/t/G/SPS/NBDI146.docx", "https://docs.wto.org/imrd/directdoc.asp?DDFDocuments/t/G/SPS/NBDI146.docx")</f>
        <v>https://docs.wto.org/imrd/directdoc.asp?DDFDocuments/t/G/SPS/NBDI146.docx</v>
      </c>
      <c r="S200" t="str">
        <f>HYPERLINK("https://docs.wto.org/imrd/directdoc.asp?DDFDocuments/u/G/SPS/NBDI146.docx", "https://docs.wto.org/imrd/directdoc.asp?DDFDocuments/u/G/SPS/NBDI146.docx")</f>
        <v>https://docs.wto.org/imrd/directdoc.asp?DDFDocuments/u/G/SPS/NBDI146.docx</v>
      </c>
      <c r="T200" t="str">
        <f>HYPERLINK("https://docs.wto.org/imrd/directdoc.asp?DDFDocuments/v/G/SPS/NBDI146.docx", "https://docs.wto.org/imrd/directdoc.asp?DDFDocuments/v/G/SPS/NBDI146.docx")</f>
        <v>https://docs.wto.org/imrd/directdoc.asp?DDFDocuments/v/G/SPS/NBDI146.docx</v>
      </c>
      <c r="U200" t="s">
        <v>43</v>
      </c>
      <c r="V200" t="s">
        <v>43</v>
      </c>
      <c r="W200" t="s">
        <v>43</v>
      </c>
      <c r="X200" t="s">
        <v>43</v>
      </c>
      <c r="Y200" t="s">
        <v>43</v>
      </c>
      <c r="Z200" t="s">
        <v>43</v>
      </c>
      <c r="AA200" t="s">
        <v>43</v>
      </c>
      <c r="AB200" s="2" t="s">
        <v>43</v>
      </c>
      <c r="AC200" t="s">
        <v>64</v>
      </c>
      <c r="AD200" t="s">
        <v>46</v>
      </c>
      <c r="AE200" t="s">
        <v>46</v>
      </c>
      <c r="AF200" t="s">
        <v>46</v>
      </c>
      <c r="AG200" t="s">
        <v>64</v>
      </c>
      <c r="AH200" s="2" t="s">
        <v>43</v>
      </c>
    </row>
    <row r="201" spans="1:34" ht="60">
      <c r="A201" s="6" t="s">
        <v>880</v>
      </c>
      <c r="B201" s="7">
        <v>46090</v>
      </c>
      <c r="C201" s="9" t="str">
        <f>HYPERLINK("https://eping.wto.org/en/Search?viewData= G/SPS/N/ECU/389"," G/SPS/N/ECU/389")</f>
        <v xml:space="preserve"> G/SPS/N/ECU/389</v>
      </c>
      <c r="D201" s="8" t="s">
        <v>1092</v>
      </c>
      <c r="E201" s="8" t="s">
        <v>1093</v>
      </c>
      <c r="F201" s="8" t="s">
        <v>1094</v>
      </c>
      <c r="G201" s="8" t="s">
        <v>1095</v>
      </c>
      <c r="H201" s="8" t="s">
        <v>43</v>
      </c>
      <c r="I201" s="8" t="s">
        <v>254</v>
      </c>
      <c r="J201" s="8" t="s">
        <v>43</v>
      </c>
      <c r="K201" s="8" t="s">
        <v>512</v>
      </c>
      <c r="L201" s="6" t="s">
        <v>1049</v>
      </c>
      <c r="M201" s="7">
        <v>46150</v>
      </c>
      <c r="N201" s="7">
        <v>45924</v>
      </c>
      <c r="O201" s="7">
        <v>45924</v>
      </c>
      <c r="P201" s="6" t="s">
        <v>62</v>
      </c>
      <c r="Q201" s="8" t="s">
        <v>1096</v>
      </c>
      <c r="R201" t="str">
        <f>HYPERLINK("https://docs.wto.org/imrd/directdoc.asp?DDFDocuments/t/G/SPS/NECU389.docx", "https://docs.wto.org/imrd/directdoc.asp?DDFDocuments/t/G/SPS/NECU389.docx")</f>
        <v>https://docs.wto.org/imrd/directdoc.asp?DDFDocuments/t/G/SPS/NECU389.docx</v>
      </c>
      <c r="S201" t="str">
        <f>HYPERLINK("https://docs.wto.org/imrd/directdoc.asp?DDFDocuments/u/G/SPS/NECU389.docx", "https://docs.wto.org/imrd/directdoc.asp?DDFDocuments/u/G/SPS/NECU389.docx")</f>
        <v>https://docs.wto.org/imrd/directdoc.asp?DDFDocuments/u/G/SPS/NECU389.docx</v>
      </c>
      <c r="T201" t="str">
        <f>HYPERLINK("https://docs.wto.org/imrd/directdoc.asp?DDFDocuments/v/G/SPS/NECU389.docx", "https://docs.wto.org/imrd/directdoc.asp?DDFDocuments/v/G/SPS/NECU389.docx")</f>
        <v>https://docs.wto.org/imrd/directdoc.asp?DDFDocuments/v/G/SPS/NECU389.docx</v>
      </c>
      <c r="U201" t="s">
        <v>43</v>
      </c>
      <c r="V201" t="s">
        <v>43</v>
      </c>
      <c r="W201" t="s">
        <v>43</v>
      </c>
      <c r="X201" t="s">
        <v>43</v>
      </c>
      <c r="Y201" t="s">
        <v>43</v>
      </c>
      <c r="Z201" t="s">
        <v>43</v>
      </c>
      <c r="AA201" t="s">
        <v>43</v>
      </c>
      <c r="AB201" s="2" t="s">
        <v>43</v>
      </c>
      <c r="AC201" t="s">
        <v>46</v>
      </c>
      <c r="AD201" t="s">
        <v>46</v>
      </c>
      <c r="AE201" t="s">
        <v>64</v>
      </c>
      <c r="AF201" t="s">
        <v>46</v>
      </c>
      <c r="AG201" t="s">
        <v>64</v>
      </c>
      <c r="AH201" s="2" t="s">
        <v>43</v>
      </c>
    </row>
    <row r="202" spans="1:34" ht="105">
      <c r="A202" s="6" t="s">
        <v>124</v>
      </c>
      <c r="B202" s="7">
        <v>46090</v>
      </c>
      <c r="C202" s="9" t="str">
        <f>HYPERLINK("https://eping.wto.org/en/Search?viewData= G/SPS/N/BDI/147, G/SPS/N/KEN/355, G/SPS/N/RWA/140, G/SPS/N/TZA/506, G/SPS/N/UGA/468"," G/SPS/N/BDI/147, G/SPS/N/KEN/355, G/SPS/N/RWA/140, G/SPS/N/TZA/506, G/SPS/N/UGA/468")</f>
        <v xml:space="preserve"> G/SPS/N/BDI/147, G/SPS/N/KEN/355, G/SPS/N/RWA/140, G/SPS/N/TZA/506, G/SPS/N/UGA/468</v>
      </c>
      <c r="D202" s="8" t="s">
        <v>1052</v>
      </c>
      <c r="E202" s="8" t="s">
        <v>1053</v>
      </c>
      <c r="F202" s="8" t="s">
        <v>1040</v>
      </c>
      <c r="G202" s="8" t="s">
        <v>452</v>
      </c>
      <c r="H202" s="8" t="s">
        <v>1041</v>
      </c>
      <c r="I202" s="8" t="s">
        <v>1054</v>
      </c>
      <c r="J202" s="8" t="s">
        <v>43</v>
      </c>
      <c r="K202" s="8" t="s">
        <v>1055</v>
      </c>
      <c r="L202" s="6"/>
      <c r="M202" s="7">
        <v>46150</v>
      </c>
      <c r="N202" s="7" t="s">
        <v>304</v>
      </c>
      <c r="O202" s="7" t="s">
        <v>304</v>
      </c>
      <c r="P202" s="6" t="s">
        <v>62</v>
      </c>
      <c r="Q202" s="8" t="s">
        <v>1056</v>
      </c>
      <c r="R202" t="str">
        <f>HYPERLINK("https://docs.wto.org/imrd/directdoc.asp?DDFDocuments/t/G/SPS/NBDI147.docx", "https://docs.wto.org/imrd/directdoc.asp?DDFDocuments/t/G/SPS/NBDI147.docx")</f>
        <v>https://docs.wto.org/imrd/directdoc.asp?DDFDocuments/t/G/SPS/NBDI147.docx</v>
      </c>
      <c r="S202" t="str">
        <f>HYPERLINK("https://docs.wto.org/imrd/directdoc.asp?DDFDocuments/u/G/SPS/NBDI147.docx", "https://docs.wto.org/imrd/directdoc.asp?DDFDocuments/u/G/SPS/NBDI147.docx")</f>
        <v>https://docs.wto.org/imrd/directdoc.asp?DDFDocuments/u/G/SPS/NBDI147.docx</v>
      </c>
      <c r="T202" t="str">
        <f>HYPERLINK("https://docs.wto.org/imrd/directdoc.asp?DDFDocuments/v/G/SPS/NBDI147.docx", "https://docs.wto.org/imrd/directdoc.asp?DDFDocuments/v/G/SPS/NBDI147.docx")</f>
        <v>https://docs.wto.org/imrd/directdoc.asp?DDFDocuments/v/G/SPS/NBDI147.docx</v>
      </c>
      <c r="U202" t="s">
        <v>43</v>
      </c>
      <c r="V202" t="s">
        <v>43</v>
      </c>
      <c r="W202" t="s">
        <v>43</v>
      </c>
      <c r="X202" t="s">
        <v>43</v>
      </c>
      <c r="Y202" t="s">
        <v>43</v>
      </c>
      <c r="Z202" t="s">
        <v>43</v>
      </c>
      <c r="AA202" t="s">
        <v>43</v>
      </c>
      <c r="AB202" s="2" t="s">
        <v>43</v>
      </c>
      <c r="AC202" t="s">
        <v>46</v>
      </c>
      <c r="AD202" t="s">
        <v>46</v>
      </c>
      <c r="AE202" t="s">
        <v>46</v>
      </c>
      <c r="AF202" t="s">
        <v>64</v>
      </c>
      <c r="AG202" t="s">
        <v>99</v>
      </c>
      <c r="AH202" s="2" t="s">
        <v>43</v>
      </c>
    </row>
    <row r="203" spans="1:34" ht="105">
      <c r="A203" s="6" t="s">
        <v>108</v>
      </c>
      <c r="B203" s="7">
        <v>46090</v>
      </c>
      <c r="C203" s="9" t="str">
        <f>HYPERLINK("https://eping.wto.org/en/Search?viewData= G/SPS/N/BDI/147, G/SPS/N/KEN/355, G/SPS/N/RWA/140, G/SPS/N/TZA/506, G/SPS/N/UGA/468"," G/SPS/N/BDI/147, G/SPS/N/KEN/355, G/SPS/N/RWA/140, G/SPS/N/TZA/506, G/SPS/N/UGA/468")</f>
        <v xml:space="preserve"> G/SPS/N/BDI/147, G/SPS/N/KEN/355, G/SPS/N/RWA/140, G/SPS/N/TZA/506, G/SPS/N/UGA/468</v>
      </c>
      <c r="D203" s="8" t="s">
        <v>1052</v>
      </c>
      <c r="E203" s="8" t="s">
        <v>1053</v>
      </c>
      <c r="F203" s="8" t="s">
        <v>1040</v>
      </c>
      <c r="G203" s="8" t="s">
        <v>452</v>
      </c>
      <c r="H203" s="8" t="s">
        <v>1041</v>
      </c>
      <c r="I203" s="8" t="s">
        <v>1054</v>
      </c>
      <c r="J203" s="8" t="s">
        <v>43</v>
      </c>
      <c r="K203" s="8" t="s">
        <v>1055</v>
      </c>
      <c r="L203" s="6"/>
      <c r="M203" s="7">
        <v>46150</v>
      </c>
      <c r="N203" s="7" t="s">
        <v>304</v>
      </c>
      <c r="O203" s="7" t="s">
        <v>304</v>
      </c>
      <c r="P203" s="6" t="s">
        <v>62</v>
      </c>
      <c r="Q203" s="8" t="s">
        <v>1056</v>
      </c>
      <c r="R203" t="str">
        <f>HYPERLINK("https://docs.wto.org/imrd/directdoc.asp?DDFDocuments/t/G/SPS/NBDI147.docx", "https://docs.wto.org/imrd/directdoc.asp?DDFDocuments/t/G/SPS/NBDI147.docx")</f>
        <v>https://docs.wto.org/imrd/directdoc.asp?DDFDocuments/t/G/SPS/NBDI147.docx</v>
      </c>
      <c r="S203" t="str">
        <f>HYPERLINK("https://docs.wto.org/imrd/directdoc.asp?DDFDocuments/u/G/SPS/NBDI147.docx", "https://docs.wto.org/imrd/directdoc.asp?DDFDocuments/u/G/SPS/NBDI147.docx")</f>
        <v>https://docs.wto.org/imrd/directdoc.asp?DDFDocuments/u/G/SPS/NBDI147.docx</v>
      </c>
      <c r="T203" t="str">
        <f>HYPERLINK("https://docs.wto.org/imrd/directdoc.asp?DDFDocuments/v/G/SPS/NBDI147.docx", "https://docs.wto.org/imrd/directdoc.asp?DDFDocuments/v/G/SPS/NBDI147.docx")</f>
        <v>https://docs.wto.org/imrd/directdoc.asp?DDFDocuments/v/G/SPS/NBDI147.docx</v>
      </c>
      <c r="U203" t="s">
        <v>43</v>
      </c>
      <c r="V203" t="s">
        <v>43</v>
      </c>
      <c r="W203" t="s">
        <v>43</v>
      </c>
      <c r="X203" t="s">
        <v>43</v>
      </c>
      <c r="Y203" t="s">
        <v>43</v>
      </c>
      <c r="Z203" t="s">
        <v>43</v>
      </c>
      <c r="AA203" t="s">
        <v>43</v>
      </c>
      <c r="AB203" s="2" t="s">
        <v>43</v>
      </c>
      <c r="AC203" t="s">
        <v>46</v>
      </c>
      <c r="AD203" t="s">
        <v>46</v>
      </c>
      <c r="AE203" t="s">
        <v>46</v>
      </c>
      <c r="AF203" t="s">
        <v>64</v>
      </c>
      <c r="AG203" t="s">
        <v>99</v>
      </c>
      <c r="AH203" s="2" t="s">
        <v>43</v>
      </c>
    </row>
    <row r="204" spans="1:34" ht="135">
      <c r="A204" s="6" t="s">
        <v>356</v>
      </c>
      <c r="B204" s="7">
        <v>46090</v>
      </c>
      <c r="C204" s="9" t="str">
        <f>HYPERLINK("https://eping.wto.org/en/Search?viewData= G/TBT/N/EU/1195"," G/TBT/N/EU/1195")</f>
        <v xml:space="preserve"> G/TBT/N/EU/1195</v>
      </c>
      <c r="D204" s="8" t="s">
        <v>1097</v>
      </c>
      <c r="E204" s="8" t="s">
        <v>1098</v>
      </c>
      <c r="F204" s="8" t="s">
        <v>1099</v>
      </c>
      <c r="G204" s="8" t="s">
        <v>43</v>
      </c>
      <c r="H204" s="8" t="s">
        <v>1100</v>
      </c>
      <c r="I204" s="8" t="s">
        <v>1101</v>
      </c>
      <c r="J204" s="8" t="s">
        <v>1102</v>
      </c>
      <c r="K204" s="8" t="s">
        <v>43</v>
      </c>
      <c r="L204" s="6"/>
      <c r="M204" s="7">
        <v>46135</v>
      </c>
      <c r="N204" s="7" t="s">
        <v>1103</v>
      </c>
      <c r="O204" s="7" t="s">
        <v>1104</v>
      </c>
      <c r="P204" s="6" t="s">
        <v>62</v>
      </c>
      <c r="Q204" s="8" t="s">
        <v>1105</v>
      </c>
      <c r="R204" t="str">
        <f>HYPERLINK("https://docs.wto.org/imrd/directdoc.asp?DDFDocuments/t/G/TBTN26/EU1195.docx", "https://docs.wto.org/imrd/directdoc.asp?DDFDocuments/t/G/TBTN26/EU1195.docx")</f>
        <v>https://docs.wto.org/imrd/directdoc.asp?DDFDocuments/t/G/TBTN26/EU1195.docx</v>
      </c>
      <c r="S204" t="str">
        <f>HYPERLINK("https://docs.wto.org/imrd/directdoc.asp?DDFDocuments/u/G/TBTN26/EU1195.docx", "https://docs.wto.org/imrd/directdoc.asp?DDFDocuments/u/G/TBTN26/EU1195.docx")</f>
        <v>https://docs.wto.org/imrd/directdoc.asp?DDFDocuments/u/G/TBTN26/EU1195.docx</v>
      </c>
      <c r="T204" t="str">
        <f>HYPERLINK("https://docs.wto.org/imrd/directdoc.asp?DDFDocuments/v/G/TBTN26/EU1195.docx", "https://docs.wto.org/imrd/directdoc.asp?DDFDocuments/v/G/TBTN26/EU1195.docx")</f>
        <v>https://docs.wto.org/imrd/directdoc.asp?DDFDocuments/v/G/TBTN26/EU1195.docx</v>
      </c>
      <c r="U204" t="s">
        <v>64</v>
      </c>
      <c r="V204" t="s">
        <v>46</v>
      </c>
      <c r="W204" t="s">
        <v>46</v>
      </c>
      <c r="X204" t="s">
        <v>46</v>
      </c>
      <c r="Y204" t="s">
        <v>46</v>
      </c>
      <c r="Z204" t="s">
        <v>46</v>
      </c>
      <c r="AA204" t="s">
        <v>46</v>
      </c>
      <c r="AB204" s="2" t="s">
        <v>43</v>
      </c>
      <c r="AC204" t="s">
        <v>43</v>
      </c>
      <c r="AD204" t="s">
        <v>43</v>
      </c>
      <c r="AE204" t="s">
        <v>43</v>
      </c>
      <c r="AF204" t="s">
        <v>43</v>
      </c>
      <c r="AG204" t="s">
        <v>43</v>
      </c>
      <c r="AH204" s="2" t="s">
        <v>43</v>
      </c>
    </row>
    <row r="205" spans="1:34" ht="270">
      <c r="A205" s="6" t="s">
        <v>862</v>
      </c>
      <c r="B205" s="7">
        <v>46090</v>
      </c>
      <c r="C205" s="9" t="str">
        <f>HYPERLINK("https://eping.wto.org/en/Search?viewData= G/TBT/N/CHE/301/Corr.1"," G/TBT/N/CHE/301/Corr.1")</f>
        <v xml:space="preserve"> G/TBT/N/CHE/301/Corr.1</v>
      </c>
      <c r="D205" s="8" t="s">
        <v>1106</v>
      </c>
      <c r="E205" s="8" t="s">
        <v>1107</v>
      </c>
      <c r="F205" s="8" t="s">
        <v>1108</v>
      </c>
      <c r="G205" s="8" t="s">
        <v>43</v>
      </c>
      <c r="H205" s="8" t="s">
        <v>43</v>
      </c>
      <c r="I205" s="8" t="s">
        <v>137</v>
      </c>
      <c r="J205" s="8" t="s">
        <v>43</v>
      </c>
      <c r="K205" s="8" t="s">
        <v>43</v>
      </c>
      <c r="L205" s="6"/>
      <c r="M205" s="7" t="s">
        <v>43</v>
      </c>
      <c r="N205" s="7"/>
      <c r="O205" s="7"/>
      <c r="P205" s="6" t="s">
        <v>296</v>
      </c>
      <c r="Q205" s="6"/>
      <c r="R205" t="str">
        <f>HYPERLINK("https://docs.wto.org/imrd/directdoc.asp?DDFDocuments/t/G/TBTN26/CHE301C1.docx", "https://docs.wto.org/imrd/directdoc.asp?DDFDocuments/t/G/TBTN26/CHE301C1.docx")</f>
        <v>https://docs.wto.org/imrd/directdoc.asp?DDFDocuments/t/G/TBTN26/CHE301C1.docx</v>
      </c>
      <c r="S205" t="str">
        <f>HYPERLINK("https://docs.wto.org/imrd/directdoc.asp?DDFDocuments/u/G/TBTN26/CHE301C1.docx", "https://docs.wto.org/imrd/directdoc.asp?DDFDocuments/u/G/TBTN26/CHE301C1.docx")</f>
        <v>https://docs.wto.org/imrd/directdoc.asp?DDFDocuments/u/G/TBTN26/CHE301C1.docx</v>
      </c>
      <c r="T205" t="str">
        <f>HYPERLINK("https://docs.wto.org/imrd/directdoc.asp?DDFDocuments/v/G/TBTN26/CHE301C1.docx", "https://docs.wto.org/imrd/directdoc.asp?DDFDocuments/v/G/TBTN26/CHE301C1.docx")</f>
        <v>https://docs.wto.org/imrd/directdoc.asp?DDFDocuments/v/G/TBTN26/CHE301C1.docx</v>
      </c>
      <c r="U205" t="s">
        <v>46</v>
      </c>
      <c r="V205" t="s">
        <v>46</v>
      </c>
      <c r="W205" t="s">
        <v>46</v>
      </c>
      <c r="X205" t="s">
        <v>46</v>
      </c>
      <c r="Y205" t="s">
        <v>46</v>
      </c>
      <c r="Z205" t="s">
        <v>46</v>
      </c>
      <c r="AA205" t="s">
        <v>46</v>
      </c>
      <c r="AB205" s="2" t="s">
        <v>43</v>
      </c>
      <c r="AC205" t="s">
        <v>43</v>
      </c>
      <c r="AD205" t="s">
        <v>43</v>
      </c>
      <c r="AE205" t="s">
        <v>43</v>
      </c>
      <c r="AF205" t="s">
        <v>43</v>
      </c>
      <c r="AG205" t="s">
        <v>43</v>
      </c>
      <c r="AH205" s="2" t="s">
        <v>43</v>
      </c>
    </row>
    <row r="206" spans="1:34" ht="45">
      <c r="A206" s="6" t="s">
        <v>124</v>
      </c>
      <c r="B206" s="7">
        <v>46090</v>
      </c>
      <c r="C206" s="9" t="str">
        <f>HYPERLINK("https://eping.wto.org/en/Search?viewData= G/SPS/N/BDI/146, G/SPS/N/KEN/354, G/SPS/N/RWA/139, G/SPS/N/TZA/505, G/SPS/N/UGA/467"," G/SPS/N/BDI/146, G/SPS/N/KEN/354, G/SPS/N/RWA/139, G/SPS/N/TZA/505, G/SPS/N/UGA/467")</f>
        <v xml:space="preserve"> G/SPS/N/BDI/146, G/SPS/N/KEN/354, G/SPS/N/RWA/139, G/SPS/N/TZA/505, G/SPS/N/UGA/467</v>
      </c>
      <c r="D206" s="8" t="s">
        <v>1031</v>
      </c>
      <c r="E206" s="8" t="s">
        <v>1089</v>
      </c>
      <c r="F206" s="8" t="s">
        <v>1040</v>
      </c>
      <c r="G206" s="8" t="s">
        <v>452</v>
      </c>
      <c r="H206" s="8" t="s">
        <v>1041</v>
      </c>
      <c r="I206" s="8" t="s">
        <v>1090</v>
      </c>
      <c r="J206" s="8" t="s">
        <v>43</v>
      </c>
      <c r="K206" s="8" t="s">
        <v>157</v>
      </c>
      <c r="L206" s="6"/>
      <c r="M206" s="7">
        <v>46150</v>
      </c>
      <c r="N206" s="7" t="s">
        <v>304</v>
      </c>
      <c r="O206" s="7" t="s">
        <v>304</v>
      </c>
      <c r="P206" s="6" t="s">
        <v>62</v>
      </c>
      <c r="Q206" s="8" t="s">
        <v>1091</v>
      </c>
      <c r="R206" t="str">
        <f>HYPERLINK("https://docs.wto.org/imrd/directdoc.asp?DDFDocuments/t/G/SPS/NBDI146.docx", "https://docs.wto.org/imrd/directdoc.asp?DDFDocuments/t/G/SPS/NBDI146.docx")</f>
        <v>https://docs.wto.org/imrd/directdoc.asp?DDFDocuments/t/G/SPS/NBDI146.docx</v>
      </c>
      <c r="S206" t="str">
        <f>HYPERLINK("https://docs.wto.org/imrd/directdoc.asp?DDFDocuments/u/G/SPS/NBDI146.docx", "https://docs.wto.org/imrd/directdoc.asp?DDFDocuments/u/G/SPS/NBDI146.docx")</f>
        <v>https://docs.wto.org/imrd/directdoc.asp?DDFDocuments/u/G/SPS/NBDI146.docx</v>
      </c>
      <c r="T206" t="str">
        <f>HYPERLINK("https://docs.wto.org/imrd/directdoc.asp?DDFDocuments/v/G/SPS/NBDI146.docx", "https://docs.wto.org/imrd/directdoc.asp?DDFDocuments/v/G/SPS/NBDI146.docx")</f>
        <v>https://docs.wto.org/imrd/directdoc.asp?DDFDocuments/v/G/SPS/NBDI146.docx</v>
      </c>
      <c r="U206" t="s">
        <v>43</v>
      </c>
      <c r="V206" t="s">
        <v>43</v>
      </c>
      <c r="W206" t="s">
        <v>43</v>
      </c>
      <c r="X206" t="s">
        <v>43</v>
      </c>
      <c r="Y206" t="s">
        <v>43</v>
      </c>
      <c r="Z206" t="s">
        <v>43</v>
      </c>
      <c r="AA206" t="s">
        <v>43</v>
      </c>
      <c r="AB206" s="2" t="s">
        <v>43</v>
      </c>
      <c r="AC206" t="s">
        <v>64</v>
      </c>
      <c r="AD206" t="s">
        <v>46</v>
      </c>
      <c r="AE206" t="s">
        <v>46</v>
      </c>
      <c r="AF206" t="s">
        <v>46</v>
      </c>
      <c r="AG206" t="s">
        <v>64</v>
      </c>
      <c r="AH206" s="2" t="s">
        <v>43</v>
      </c>
    </row>
    <row r="207" spans="1:34" ht="105">
      <c r="A207" s="6" t="s">
        <v>509</v>
      </c>
      <c r="B207" s="7">
        <v>46090</v>
      </c>
      <c r="C207" s="9" t="str">
        <f>HYPERLINK("https://eping.wto.org/en/Search?viewData= G/SPS/N/BDI/147, G/SPS/N/KEN/355, G/SPS/N/RWA/140, G/SPS/N/TZA/506, G/SPS/N/UGA/468"," G/SPS/N/BDI/147, G/SPS/N/KEN/355, G/SPS/N/RWA/140, G/SPS/N/TZA/506, G/SPS/N/UGA/468")</f>
        <v xml:space="preserve"> G/SPS/N/BDI/147, G/SPS/N/KEN/355, G/SPS/N/RWA/140, G/SPS/N/TZA/506, G/SPS/N/UGA/468</v>
      </c>
      <c r="D207" s="8" t="s">
        <v>1052</v>
      </c>
      <c r="E207" s="8" t="s">
        <v>1053</v>
      </c>
      <c r="F207" s="8" t="s">
        <v>1040</v>
      </c>
      <c r="G207" s="8" t="s">
        <v>452</v>
      </c>
      <c r="H207" s="8" t="s">
        <v>1041</v>
      </c>
      <c r="I207" s="8" t="s">
        <v>1054</v>
      </c>
      <c r="J207" s="8" t="s">
        <v>43</v>
      </c>
      <c r="K207" s="8" t="s">
        <v>1109</v>
      </c>
      <c r="L207" s="6"/>
      <c r="M207" s="7">
        <v>46150</v>
      </c>
      <c r="N207" s="7" t="s">
        <v>304</v>
      </c>
      <c r="O207" s="7" t="s">
        <v>304</v>
      </c>
      <c r="P207" s="6" t="s">
        <v>62</v>
      </c>
      <c r="Q207" s="8" t="s">
        <v>1056</v>
      </c>
      <c r="R207" t="str">
        <f>HYPERLINK("https://docs.wto.org/imrd/directdoc.asp?DDFDocuments/t/G/SPS/NBDI147.docx", "https://docs.wto.org/imrd/directdoc.asp?DDFDocuments/t/G/SPS/NBDI147.docx")</f>
        <v>https://docs.wto.org/imrd/directdoc.asp?DDFDocuments/t/G/SPS/NBDI147.docx</v>
      </c>
      <c r="S207" t="str">
        <f>HYPERLINK("https://docs.wto.org/imrd/directdoc.asp?DDFDocuments/u/G/SPS/NBDI147.docx", "https://docs.wto.org/imrd/directdoc.asp?DDFDocuments/u/G/SPS/NBDI147.docx")</f>
        <v>https://docs.wto.org/imrd/directdoc.asp?DDFDocuments/u/G/SPS/NBDI147.docx</v>
      </c>
      <c r="T207" t="str">
        <f>HYPERLINK("https://docs.wto.org/imrd/directdoc.asp?DDFDocuments/v/G/SPS/NBDI147.docx", "https://docs.wto.org/imrd/directdoc.asp?DDFDocuments/v/G/SPS/NBDI147.docx")</f>
        <v>https://docs.wto.org/imrd/directdoc.asp?DDFDocuments/v/G/SPS/NBDI147.docx</v>
      </c>
      <c r="U207" t="s">
        <v>43</v>
      </c>
      <c r="V207" t="s">
        <v>43</v>
      </c>
      <c r="W207" t="s">
        <v>43</v>
      </c>
      <c r="X207" t="s">
        <v>43</v>
      </c>
      <c r="Y207" t="s">
        <v>43</v>
      </c>
      <c r="Z207" t="s">
        <v>43</v>
      </c>
      <c r="AA207" t="s">
        <v>43</v>
      </c>
      <c r="AB207" s="2" t="s">
        <v>43</v>
      </c>
      <c r="AC207" t="s">
        <v>46</v>
      </c>
      <c r="AD207" t="s">
        <v>46</v>
      </c>
      <c r="AE207" t="s">
        <v>46</v>
      </c>
      <c r="AF207" t="s">
        <v>64</v>
      </c>
      <c r="AG207" t="s">
        <v>99</v>
      </c>
      <c r="AH207" s="2" t="s">
        <v>43</v>
      </c>
    </row>
    <row r="208" spans="1:34" ht="45">
      <c r="A208" s="6" t="s">
        <v>269</v>
      </c>
      <c r="B208" s="7">
        <v>46090</v>
      </c>
      <c r="C208" s="9" t="str">
        <f>HYPERLINK("https://eping.wto.org/en/Search?viewData= G/TBT/N/IDN/184/Add.1"," G/TBT/N/IDN/184/Add.1")</f>
        <v xml:space="preserve"> G/TBT/N/IDN/184/Add.1</v>
      </c>
      <c r="D208" s="8" t="s">
        <v>1110</v>
      </c>
      <c r="E208" s="8" t="s">
        <v>1111</v>
      </c>
      <c r="F208" s="8" t="s">
        <v>1112</v>
      </c>
      <c r="G208" s="8" t="s">
        <v>43</v>
      </c>
      <c r="H208" s="8" t="s">
        <v>1113</v>
      </c>
      <c r="I208" s="8" t="s">
        <v>1114</v>
      </c>
      <c r="J208" s="8" t="s">
        <v>43</v>
      </c>
      <c r="K208" s="8" t="s">
        <v>43</v>
      </c>
      <c r="L208" s="6"/>
      <c r="M208" s="7">
        <v>46125</v>
      </c>
      <c r="N208" s="7"/>
      <c r="O208" s="7"/>
      <c r="P208" s="6" t="s">
        <v>44</v>
      </c>
      <c r="Q208" s="6"/>
      <c r="R208" t="str">
        <f>HYPERLINK("https://docs.wto.org/imrd/directdoc.asp?DDFDocuments/t/G/TBTN26/IDN184A1.docx", "https://docs.wto.org/imrd/directdoc.asp?DDFDocuments/t/G/TBTN26/IDN184A1.docx")</f>
        <v>https://docs.wto.org/imrd/directdoc.asp?DDFDocuments/t/G/TBTN26/IDN184A1.docx</v>
      </c>
      <c r="S208" t="str">
        <f>HYPERLINK("https://docs.wto.org/imrd/directdoc.asp?DDFDocuments/u/G/TBTN26/IDN184A1.docx", "https://docs.wto.org/imrd/directdoc.asp?DDFDocuments/u/G/TBTN26/IDN184A1.docx")</f>
        <v>https://docs.wto.org/imrd/directdoc.asp?DDFDocuments/u/G/TBTN26/IDN184A1.docx</v>
      </c>
      <c r="T208" t="str">
        <f>HYPERLINK("https://docs.wto.org/imrd/directdoc.asp?DDFDocuments/v/G/TBTN26/IDN184A1.docx", "https://docs.wto.org/imrd/directdoc.asp?DDFDocuments/v/G/TBTN26/IDN184A1.docx")</f>
        <v>https://docs.wto.org/imrd/directdoc.asp?DDFDocuments/v/G/TBTN26/IDN184A1.docx</v>
      </c>
      <c r="U208" t="s">
        <v>46</v>
      </c>
      <c r="V208" t="s">
        <v>46</v>
      </c>
      <c r="W208" t="s">
        <v>46</v>
      </c>
      <c r="X208" t="s">
        <v>46</v>
      </c>
      <c r="Y208" t="s">
        <v>46</v>
      </c>
      <c r="Z208" t="s">
        <v>46</v>
      </c>
      <c r="AA208" t="s">
        <v>46</v>
      </c>
      <c r="AB208" s="2" t="s">
        <v>43</v>
      </c>
      <c r="AC208" t="s">
        <v>43</v>
      </c>
      <c r="AD208" t="s">
        <v>43</v>
      </c>
      <c r="AE208" t="s">
        <v>43</v>
      </c>
      <c r="AF208" t="s">
        <v>43</v>
      </c>
      <c r="AG208" t="s">
        <v>43</v>
      </c>
      <c r="AH208" s="2" t="s">
        <v>43</v>
      </c>
    </row>
    <row r="209" spans="1:34" ht="330">
      <c r="A209" s="6" t="s">
        <v>509</v>
      </c>
      <c r="B209" s="7">
        <v>46090</v>
      </c>
      <c r="C209" s="9" t="str">
        <f>HYPERLINK("https://eping.wto.org/en/Search?viewData= G/TBT/N/BDI/724, G/TBT/N/KEN/1997, G/TBT/N/RWA/1366, G/TBT/N/TZA/1521, G/TBT/N/UGA/2323"," G/TBT/N/BDI/724, G/TBT/N/KEN/1997, G/TBT/N/RWA/1366, G/TBT/N/TZA/1521, G/TBT/N/UGA/2323")</f>
        <v xml:space="preserve"> G/TBT/N/BDI/724, G/TBT/N/KEN/1997, G/TBT/N/RWA/1366, G/TBT/N/TZA/1521, G/TBT/N/UGA/2323</v>
      </c>
      <c r="D209" s="8" t="s">
        <v>1031</v>
      </c>
      <c r="E209" s="8" t="s">
        <v>1032</v>
      </c>
      <c r="F209" s="8" t="s">
        <v>1033</v>
      </c>
      <c r="G209" s="8" t="s">
        <v>452</v>
      </c>
      <c r="H209" s="8" t="s">
        <v>1034</v>
      </c>
      <c r="I209" s="8" t="s">
        <v>1035</v>
      </c>
      <c r="J209" s="8" t="s">
        <v>43</v>
      </c>
      <c r="K209" s="8" t="s">
        <v>240</v>
      </c>
      <c r="L209" s="6"/>
      <c r="M209" s="7">
        <v>46150</v>
      </c>
      <c r="N209" s="7" t="s">
        <v>79</v>
      </c>
      <c r="O209" s="7" t="s">
        <v>79</v>
      </c>
      <c r="P209" s="6" t="s">
        <v>62</v>
      </c>
      <c r="Q209" s="8" t="s">
        <v>1036</v>
      </c>
      <c r="R209" t="str">
        <f>HYPERLINK("https://docs.wto.org/imrd/directdoc.asp?DDFDocuments/t/G/TBTN26/BDI724.docx", "https://docs.wto.org/imrd/directdoc.asp?DDFDocuments/t/G/TBTN26/BDI724.docx")</f>
        <v>https://docs.wto.org/imrd/directdoc.asp?DDFDocuments/t/G/TBTN26/BDI724.docx</v>
      </c>
      <c r="S209" t="str">
        <f>HYPERLINK("https://docs.wto.org/imrd/directdoc.asp?DDFDocuments/u/G/TBTN26/BDI724.docx", "https://docs.wto.org/imrd/directdoc.asp?DDFDocuments/u/G/TBTN26/BDI724.docx")</f>
        <v>https://docs.wto.org/imrd/directdoc.asp?DDFDocuments/u/G/TBTN26/BDI724.docx</v>
      </c>
      <c r="T209" t="str">
        <f>HYPERLINK("https://docs.wto.org/imrd/directdoc.asp?DDFDocuments/v/G/TBTN26/BDI724.docx", "https://docs.wto.org/imrd/directdoc.asp?DDFDocuments/v/G/TBTN26/BDI724.docx")</f>
        <v>https://docs.wto.org/imrd/directdoc.asp?DDFDocuments/v/G/TBTN26/BDI724.docx</v>
      </c>
      <c r="U209" t="s">
        <v>64</v>
      </c>
      <c r="V209" t="s">
        <v>46</v>
      </c>
      <c r="W209" t="s">
        <v>64</v>
      </c>
      <c r="X209" t="s">
        <v>46</v>
      </c>
      <c r="Y209" t="s">
        <v>46</v>
      </c>
      <c r="Z209" t="s">
        <v>46</v>
      </c>
      <c r="AA209" t="s">
        <v>46</v>
      </c>
      <c r="AB209" s="2" t="s">
        <v>1037</v>
      </c>
      <c r="AC209" t="s">
        <v>43</v>
      </c>
      <c r="AD209" t="s">
        <v>43</v>
      </c>
      <c r="AE209" t="s">
        <v>43</v>
      </c>
      <c r="AF209" t="s">
        <v>43</v>
      </c>
      <c r="AG209" t="s">
        <v>43</v>
      </c>
      <c r="AH209" s="2" t="s">
        <v>43</v>
      </c>
    </row>
    <row r="210" spans="1:34" ht="60">
      <c r="A210" s="6" t="s">
        <v>880</v>
      </c>
      <c r="B210" s="7">
        <v>46090</v>
      </c>
      <c r="C210" s="9" t="str">
        <f>HYPERLINK("https://eping.wto.org/en/Search?viewData= G/SPS/N/ECU/392"," G/SPS/N/ECU/392")</f>
        <v xml:space="preserve"> G/SPS/N/ECU/392</v>
      </c>
      <c r="D210" s="8" t="s">
        <v>1115</v>
      </c>
      <c r="E210" s="8" t="s">
        <v>1116</v>
      </c>
      <c r="F210" s="8" t="s">
        <v>1117</v>
      </c>
      <c r="G210" s="8" t="s">
        <v>1118</v>
      </c>
      <c r="H210" s="8" t="s">
        <v>43</v>
      </c>
      <c r="I210" s="8" t="s">
        <v>254</v>
      </c>
      <c r="J210" s="8" t="s">
        <v>43</v>
      </c>
      <c r="K210" s="8" t="s">
        <v>512</v>
      </c>
      <c r="L210" s="6" t="s">
        <v>1049</v>
      </c>
      <c r="M210" s="7">
        <v>46150</v>
      </c>
      <c r="N210" s="7">
        <v>45924</v>
      </c>
      <c r="O210" s="7">
        <v>45924</v>
      </c>
      <c r="P210" s="6" t="s">
        <v>62</v>
      </c>
      <c r="Q210" s="8" t="s">
        <v>1119</v>
      </c>
      <c r="R210" t="str">
        <f>HYPERLINK("https://docs.wto.org/imrd/directdoc.asp?DDFDocuments/t/G/SPS/NECU392.docx", "https://docs.wto.org/imrd/directdoc.asp?DDFDocuments/t/G/SPS/NECU392.docx")</f>
        <v>https://docs.wto.org/imrd/directdoc.asp?DDFDocuments/t/G/SPS/NECU392.docx</v>
      </c>
      <c r="S210" t="str">
        <f>HYPERLINK("https://docs.wto.org/imrd/directdoc.asp?DDFDocuments/u/G/SPS/NECU392.docx", "https://docs.wto.org/imrd/directdoc.asp?DDFDocuments/u/G/SPS/NECU392.docx")</f>
        <v>https://docs.wto.org/imrd/directdoc.asp?DDFDocuments/u/G/SPS/NECU392.docx</v>
      </c>
      <c r="T210" t="str">
        <f>HYPERLINK("https://docs.wto.org/imrd/directdoc.asp?DDFDocuments/v/G/SPS/NECU392.docx", "https://docs.wto.org/imrd/directdoc.asp?DDFDocuments/v/G/SPS/NECU392.docx")</f>
        <v>https://docs.wto.org/imrd/directdoc.asp?DDFDocuments/v/G/SPS/NECU392.docx</v>
      </c>
      <c r="U210" t="s">
        <v>43</v>
      </c>
      <c r="V210" t="s">
        <v>43</v>
      </c>
      <c r="W210" t="s">
        <v>43</v>
      </c>
      <c r="X210" t="s">
        <v>43</v>
      </c>
      <c r="Y210" t="s">
        <v>43</v>
      </c>
      <c r="Z210" t="s">
        <v>43</v>
      </c>
      <c r="AA210" t="s">
        <v>43</v>
      </c>
      <c r="AB210" s="2" t="s">
        <v>43</v>
      </c>
      <c r="AC210" t="s">
        <v>46</v>
      </c>
      <c r="AD210" t="s">
        <v>46</v>
      </c>
      <c r="AE210" t="s">
        <v>64</v>
      </c>
      <c r="AF210" t="s">
        <v>46</v>
      </c>
      <c r="AG210" t="s">
        <v>64</v>
      </c>
      <c r="AH210" s="2" t="s">
        <v>1120</v>
      </c>
    </row>
    <row r="211" spans="1:34" ht="120">
      <c r="A211" s="6" t="s">
        <v>146</v>
      </c>
      <c r="B211" s="7">
        <v>46090</v>
      </c>
      <c r="C211" s="9" t="str">
        <f>HYPERLINK("https://eping.wto.org/en/Search?viewData= G/TBT/N/CHL/572/Add.3"," G/TBT/N/CHL/572/Add.3")</f>
        <v xml:space="preserve"> G/TBT/N/CHL/572/Add.3</v>
      </c>
      <c r="D211" s="8" t="s">
        <v>1121</v>
      </c>
      <c r="E211" s="8" t="s">
        <v>1122</v>
      </c>
      <c r="F211" s="8" t="s">
        <v>1123</v>
      </c>
      <c r="G211" s="8" t="s">
        <v>43</v>
      </c>
      <c r="H211" s="8" t="s">
        <v>43</v>
      </c>
      <c r="I211" s="8" t="s">
        <v>1124</v>
      </c>
      <c r="J211" s="8" t="s">
        <v>43</v>
      </c>
      <c r="K211" s="8" t="s">
        <v>350</v>
      </c>
      <c r="L211" s="6"/>
      <c r="M211" s="7" t="s">
        <v>43</v>
      </c>
      <c r="N211" s="7"/>
      <c r="O211" s="7"/>
      <c r="P211" s="6" t="s">
        <v>44</v>
      </c>
      <c r="Q211" s="8" t="s">
        <v>1125</v>
      </c>
      <c r="R211" t="str">
        <f>HYPERLINK("https://docs.wto.org/imrd/directdoc.asp?DDFDocuments/t/G/TBTN21/CHL572A3.docx", "https://docs.wto.org/imrd/directdoc.asp?DDFDocuments/t/G/TBTN21/CHL572A3.docx")</f>
        <v>https://docs.wto.org/imrd/directdoc.asp?DDFDocuments/t/G/TBTN21/CHL572A3.docx</v>
      </c>
      <c r="S211" t="str">
        <f>HYPERLINK("https://docs.wto.org/imrd/directdoc.asp?DDFDocuments/u/G/TBTN21/CHL572A3.docx", "https://docs.wto.org/imrd/directdoc.asp?DDFDocuments/u/G/TBTN21/CHL572A3.docx")</f>
        <v>https://docs.wto.org/imrd/directdoc.asp?DDFDocuments/u/G/TBTN21/CHL572A3.docx</v>
      </c>
      <c r="T211" t="str">
        <f>HYPERLINK("https://docs.wto.org/imrd/directdoc.asp?DDFDocuments/v/G/TBTN21/CHL572A3.docx", "https://docs.wto.org/imrd/directdoc.asp?DDFDocuments/v/G/TBTN21/CHL572A3.docx")</f>
        <v>https://docs.wto.org/imrd/directdoc.asp?DDFDocuments/v/G/TBTN21/CHL572A3.docx</v>
      </c>
      <c r="U211" t="s">
        <v>64</v>
      </c>
      <c r="V211" t="s">
        <v>46</v>
      </c>
      <c r="W211" t="s">
        <v>46</v>
      </c>
      <c r="X211" t="s">
        <v>46</v>
      </c>
      <c r="Y211" t="s">
        <v>46</v>
      </c>
      <c r="Z211" t="s">
        <v>46</v>
      </c>
      <c r="AA211" t="s">
        <v>46</v>
      </c>
      <c r="AB211" s="2" t="s">
        <v>43</v>
      </c>
      <c r="AC211" t="s">
        <v>43</v>
      </c>
      <c r="AD211" t="s">
        <v>43</v>
      </c>
      <c r="AE211" t="s">
        <v>43</v>
      </c>
      <c r="AF211" t="s">
        <v>43</v>
      </c>
      <c r="AG211" t="s">
        <v>43</v>
      </c>
      <c r="AH211" s="2" t="s">
        <v>43</v>
      </c>
    </row>
    <row r="212" spans="1:34" ht="30">
      <c r="A212" s="6" t="s">
        <v>256</v>
      </c>
      <c r="B212" s="7">
        <v>46090</v>
      </c>
      <c r="C212" s="9" t="str">
        <f>HYPERLINK("https://eping.wto.org/en/Search?viewData= G/TBT/N/PRY/154"," G/TBT/N/PRY/154")</f>
        <v xml:space="preserve"> G/TBT/N/PRY/154</v>
      </c>
      <c r="D212" s="8" t="s">
        <v>1126</v>
      </c>
      <c r="E212" s="8" t="s">
        <v>1127</v>
      </c>
      <c r="F212" s="8" t="s">
        <v>1128</v>
      </c>
      <c r="G212" s="8" t="s">
        <v>43</v>
      </c>
      <c r="H212" s="8" t="s">
        <v>1129</v>
      </c>
      <c r="I212" s="8" t="s">
        <v>621</v>
      </c>
      <c r="J212" s="8" t="s">
        <v>43</v>
      </c>
      <c r="K212" s="8" t="s">
        <v>43</v>
      </c>
      <c r="L212" s="6"/>
      <c r="M212" s="7" t="s">
        <v>43</v>
      </c>
      <c r="N212" s="7" t="s">
        <v>79</v>
      </c>
      <c r="O212" s="7" t="s">
        <v>79</v>
      </c>
      <c r="P212" s="6" t="s">
        <v>62</v>
      </c>
      <c r="Q212" s="8" t="s">
        <v>1130</v>
      </c>
      <c r="R212" t="str">
        <f>HYPERLINK("https://docs.wto.org/imrd/directdoc.asp?DDFDocuments/t/G/TBTN26/PRY154.docx", "https://docs.wto.org/imrd/directdoc.asp?DDFDocuments/t/G/TBTN26/PRY154.docx")</f>
        <v>https://docs.wto.org/imrd/directdoc.asp?DDFDocuments/t/G/TBTN26/PRY154.docx</v>
      </c>
      <c r="S212" t="str">
        <f>HYPERLINK("https://docs.wto.org/imrd/directdoc.asp?DDFDocuments/u/G/TBTN26/PRY154.docx", "https://docs.wto.org/imrd/directdoc.asp?DDFDocuments/u/G/TBTN26/PRY154.docx")</f>
        <v>https://docs.wto.org/imrd/directdoc.asp?DDFDocuments/u/G/TBTN26/PRY154.docx</v>
      </c>
      <c r="T212" t="str">
        <f>HYPERLINK("https://docs.wto.org/imrd/directdoc.asp?DDFDocuments/v/G/TBTN26/PRY154.docx", "https://docs.wto.org/imrd/directdoc.asp?DDFDocuments/v/G/TBTN26/PRY154.docx")</f>
        <v>https://docs.wto.org/imrd/directdoc.asp?DDFDocuments/v/G/TBTN26/PRY154.docx</v>
      </c>
      <c r="U212" t="s">
        <v>46</v>
      </c>
      <c r="V212" t="s">
        <v>46</v>
      </c>
      <c r="W212" t="s">
        <v>46</v>
      </c>
      <c r="X212" t="s">
        <v>46</v>
      </c>
      <c r="Y212" t="s">
        <v>64</v>
      </c>
      <c r="Z212" t="s">
        <v>64</v>
      </c>
      <c r="AA212" t="s">
        <v>46</v>
      </c>
      <c r="AB212" s="2" t="s">
        <v>877</v>
      </c>
      <c r="AC212" t="s">
        <v>43</v>
      </c>
      <c r="AD212" t="s">
        <v>43</v>
      </c>
      <c r="AE212" t="s">
        <v>43</v>
      </c>
      <c r="AF212" t="s">
        <v>43</v>
      </c>
      <c r="AG212" t="s">
        <v>43</v>
      </c>
      <c r="AH212" s="2" t="s">
        <v>43</v>
      </c>
    </row>
    <row r="213" spans="1:34" ht="195">
      <c r="A213" s="6" t="s">
        <v>47</v>
      </c>
      <c r="B213" s="7">
        <v>46090</v>
      </c>
      <c r="C213" s="9" t="str">
        <f>HYPERLINK("https://eping.wto.org/en/Search?viewData= G/SPS/N/CAN/1635"," G/SPS/N/CAN/1635")</f>
        <v xml:space="preserve"> G/SPS/N/CAN/1635</v>
      </c>
      <c r="D213" s="8" t="s">
        <v>1131</v>
      </c>
      <c r="E213" s="8" t="s">
        <v>1132</v>
      </c>
      <c r="F213" s="8" t="s">
        <v>1133</v>
      </c>
      <c r="G213" s="8" t="s">
        <v>43</v>
      </c>
      <c r="H213" s="8" t="s">
        <v>1134</v>
      </c>
      <c r="I213" s="8" t="s">
        <v>58</v>
      </c>
      <c r="J213" s="8" t="s">
        <v>43</v>
      </c>
      <c r="K213" s="8" t="s">
        <v>1061</v>
      </c>
      <c r="L213" s="6" t="s">
        <v>43</v>
      </c>
      <c r="M213" s="7">
        <v>46154</v>
      </c>
      <c r="N213" s="7" t="s">
        <v>1062</v>
      </c>
      <c r="O213" s="7" t="s">
        <v>1063</v>
      </c>
      <c r="P213" s="6" t="s">
        <v>62</v>
      </c>
      <c r="Q213" s="6"/>
      <c r="R213" t="str">
        <f>HYPERLINK("https://docs.wto.org/imrd/directdoc.asp?DDFDocuments/t/G/SPS/NCAN1635.docx", "https://docs.wto.org/imrd/directdoc.asp?DDFDocuments/t/G/SPS/NCAN1635.docx")</f>
        <v>https://docs.wto.org/imrd/directdoc.asp?DDFDocuments/t/G/SPS/NCAN1635.docx</v>
      </c>
      <c r="S213" t="str">
        <f>HYPERLINK("https://docs.wto.org/imrd/directdoc.asp?DDFDocuments/u/G/SPS/NCAN1635.docx", "https://docs.wto.org/imrd/directdoc.asp?DDFDocuments/u/G/SPS/NCAN1635.docx")</f>
        <v>https://docs.wto.org/imrd/directdoc.asp?DDFDocuments/u/G/SPS/NCAN1635.docx</v>
      </c>
      <c r="T213" t="str">
        <f>HYPERLINK("https://docs.wto.org/imrd/directdoc.asp?DDFDocuments/v/G/SPS/NCAN1635.docx", "https://docs.wto.org/imrd/directdoc.asp?DDFDocuments/v/G/SPS/NCAN1635.docx")</f>
        <v>https://docs.wto.org/imrd/directdoc.asp?DDFDocuments/v/G/SPS/NCAN1635.docx</v>
      </c>
      <c r="U213" t="s">
        <v>43</v>
      </c>
      <c r="V213" t="s">
        <v>43</v>
      </c>
      <c r="W213" t="s">
        <v>43</v>
      </c>
      <c r="X213" t="s">
        <v>43</v>
      </c>
      <c r="Y213" t="s">
        <v>43</v>
      </c>
      <c r="Z213" t="s">
        <v>43</v>
      </c>
      <c r="AA213" t="s">
        <v>43</v>
      </c>
      <c r="AB213" s="2" t="s">
        <v>43</v>
      </c>
      <c r="AC213" t="s">
        <v>64</v>
      </c>
      <c r="AD213" t="s">
        <v>46</v>
      </c>
      <c r="AE213" t="s">
        <v>46</v>
      </c>
      <c r="AF213" t="s">
        <v>46</v>
      </c>
      <c r="AG213" t="s">
        <v>46</v>
      </c>
      <c r="AH213" s="2" t="s">
        <v>1135</v>
      </c>
    </row>
    <row r="214" spans="1:34" ht="120">
      <c r="A214" s="6" t="s">
        <v>47</v>
      </c>
      <c r="B214" s="7">
        <v>46090</v>
      </c>
      <c r="C214" s="9" t="str">
        <f>HYPERLINK("https://eping.wto.org/en/Search?viewData= G/SPS/N/CAN/1636"," G/SPS/N/CAN/1636")</f>
        <v xml:space="preserve"> G/SPS/N/CAN/1636</v>
      </c>
      <c r="D214" s="8" t="s">
        <v>1136</v>
      </c>
      <c r="E214" s="8" t="s">
        <v>1137</v>
      </c>
      <c r="F214" s="8" t="s">
        <v>1138</v>
      </c>
      <c r="G214" s="8" t="s">
        <v>43</v>
      </c>
      <c r="H214" s="8" t="s">
        <v>1134</v>
      </c>
      <c r="I214" s="8" t="s">
        <v>58</v>
      </c>
      <c r="J214" s="8" t="s">
        <v>43</v>
      </c>
      <c r="K214" s="8" t="s">
        <v>1061</v>
      </c>
      <c r="L214" s="6" t="s">
        <v>43</v>
      </c>
      <c r="M214" s="7">
        <v>46154</v>
      </c>
      <c r="N214" s="7" t="s">
        <v>1062</v>
      </c>
      <c r="O214" s="7" t="s">
        <v>1063</v>
      </c>
      <c r="P214" s="6" t="s">
        <v>62</v>
      </c>
      <c r="Q214" s="6"/>
      <c r="R214" t="str">
        <f>HYPERLINK("https://docs.wto.org/imrd/directdoc.asp?DDFDocuments/t/G/SPS/NCAN1636.docx", "https://docs.wto.org/imrd/directdoc.asp?DDFDocuments/t/G/SPS/NCAN1636.docx")</f>
        <v>https://docs.wto.org/imrd/directdoc.asp?DDFDocuments/t/G/SPS/NCAN1636.docx</v>
      </c>
      <c r="S214" t="str">
        <f>HYPERLINK("https://docs.wto.org/imrd/directdoc.asp?DDFDocuments/u/G/SPS/NCAN1636.docx", "https://docs.wto.org/imrd/directdoc.asp?DDFDocuments/u/G/SPS/NCAN1636.docx")</f>
        <v>https://docs.wto.org/imrd/directdoc.asp?DDFDocuments/u/G/SPS/NCAN1636.docx</v>
      </c>
      <c r="T214" t="str">
        <f>HYPERLINK("https://docs.wto.org/imrd/directdoc.asp?DDFDocuments/v/G/SPS/NCAN1636.docx", "https://docs.wto.org/imrd/directdoc.asp?DDFDocuments/v/G/SPS/NCAN1636.docx")</f>
        <v>https://docs.wto.org/imrd/directdoc.asp?DDFDocuments/v/G/SPS/NCAN1636.docx</v>
      </c>
      <c r="U214" t="s">
        <v>43</v>
      </c>
      <c r="V214" t="s">
        <v>43</v>
      </c>
      <c r="W214" t="s">
        <v>43</v>
      </c>
      <c r="X214" t="s">
        <v>43</v>
      </c>
      <c r="Y214" t="s">
        <v>43</v>
      </c>
      <c r="Z214" t="s">
        <v>43</v>
      </c>
      <c r="AA214" t="s">
        <v>43</v>
      </c>
      <c r="AB214" s="2" t="s">
        <v>43</v>
      </c>
      <c r="AC214" t="s">
        <v>46</v>
      </c>
      <c r="AD214" t="s">
        <v>46</v>
      </c>
      <c r="AE214" t="s">
        <v>46</v>
      </c>
      <c r="AF214" t="s">
        <v>64</v>
      </c>
      <c r="AG214" t="s">
        <v>99</v>
      </c>
      <c r="AH214" s="2" t="s">
        <v>1139</v>
      </c>
    </row>
    <row r="215" spans="1:34" ht="330">
      <c r="A215" s="6" t="s">
        <v>577</v>
      </c>
      <c r="B215" s="7">
        <v>46090</v>
      </c>
      <c r="C215" s="9" t="str">
        <f>HYPERLINK("https://eping.wto.org/en/Search?viewData= G/TBT/N/BDI/724, G/TBT/N/KEN/1997, G/TBT/N/RWA/1366, G/TBT/N/TZA/1521, G/TBT/N/UGA/2323"," G/TBT/N/BDI/724, G/TBT/N/KEN/1997, G/TBT/N/RWA/1366, G/TBT/N/TZA/1521, G/TBT/N/UGA/2323")</f>
        <v xml:space="preserve"> G/TBT/N/BDI/724, G/TBT/N/KEN/1997, G/TBT/N/RWA/1366, G/TBT/N/TZA/1521, G/TBT/N/UGA/2323</v>
      </c>
      <c r="D215" s="8" t="s">
        <v>1031</v>
      </c>
      <c r="E215" s="8" t="s">
        <v>1032</v>
      </c>
      <c r="F215" s="8" t="s">
        <v>1033</v>
      </c>
      <c r="G215" s="8" t="s">
        <v>452</v>
      </c>
      <c r="H215" s="8" t="s">
        <v>1034</v>
      </c>
      <c r="I215" s="8" t="s">
        <v>1035</v>
      </c>
      <c r="J215" s="8" t="s">
        <v>43</v>
      </c>
      <c r="K215" s="8" t="s">
        <v>240</v>
      </c>
      <c r="L215" s="6"/>
      <c r="M215" s="7">
        <v>46150</v>
      </c>
      <c r="N215" s="7" t="s">
        <v>79</v>
      </c>
      <c r="O215" s="7" t="s">
        <v>79</v>
      </c>
      <c r="P215" s="6" t="s">
        <v>62</v>
      </c>
      <c r="Q215" s="8" t="s">
        <v>1036</v>
      </c>
      <c r="R215" t="str">
        <f>HYPERLINK("https://docs.wto.org/imrd/directdoc.asp?DDFDocuments/t/G/TBTN26/BDI724.docx", "https://docs.wto.org/imrd/directdoc.asp?DDFDocuments/t/G/TBTN26/BDI724.docx")</f>
        <v>https://docs.wto.org/imrd/directdoc.asp?DDFDocuments/t/G/TBTN26/BDI724.docx</v>
      </c>
      <c r="S215" t="str">
        <f>HYPERLINK("https://docs.wto.org/imrd/directdoc.asp?DDFDocuments/u/G/TBTN26/BDI724.docx", "https://docs.wto.org/imrd/directdoc.asp?DDFDocuments/u/G/TBTN26/BDI724.docx")</f>
        <v>https://docs.wto.org/imrd/directdoc.asp?DDFDocuments/u/G/TBTN26/BDI724.docx</v>
      </c>
      <c r="T215" t="str">
        <f>HYPERLINK("https://docs.wto.org/imrd/directdoc.asp?DDFDocuments/v/G/TBTN26/BDI724.docx", "https://docs.wto.org/imrd/directdoc.asp?DDFDocuments/v/G/TBTN26/BDI724.docx")</f>
        <v>https://docs.wto.org/imrd/directdoc.asp?DDFDocuments/v/G/TBTN26/BDI724.docx</v>
      </c>
      <c r="U215" t="s">
        <v>64</v>
      </c>
      <c r="V215" t="s">
        <v>46</v>
      </c>
      <c r="W215" t="s">
        <v>64</v>
      </c>
      <c r="X215" t="s">
        <v>46</v>
      </c>
      <c r="Y215" t="s">
        <v>46</v>
      </c>
      <c r="Z215" t="s">
        <v>46</v>
      </c>
      <c r="AA215" t="s">
        <v>46</v>
      </c>
      <c r="AB215" s="2" t="s">
        <v>1037</v>
      </c>
      <c r="AC215" t="s">
        <v>43</v>
      </c>
      <c r="AD215" t="s">
        <v>43</v>
      </c>
      <c r="AE215" t="s">
        <v>43</v>
      </c>
      <c r="AF215" t="s">
        <v>43</v>
      </c>
      <c r="AG215" t="s">
        <v>43</v>
      </c>
      <c r="AH215" s="2" t="s">
        <v>43</v>
      </c>
    </row>
    <row r="216" spans="1:34" ht="330">
      <c r="A216" s="6" t="s">
        <v>108</v>
      </c>
      <c r="B216" s="7">
        <v>46090</v>
      </c>
      <c r="C216" s="9" t="str">
        <f>HYPERLINK("https://eping.wto.org/en/Search?viewData= G/TBT/N/BDI/724, G/TBT/N/KEN/1997, G/TBT/N/RWA/1366, G/TBT/N/TZA/1521, G/TBT/N/UGA/2323"," G/TBT/N/BDI/724, G/TBT/N/KEN/1997, G/TBT/N/RWA/1366, G/TBT/N/TZA/1521, G/TBT/N/UGA/2323")</f>
        <v xml:space="preserve"> G/TBT/N/BDI/724, G/TBT/N/KEN/1997, G/TBT/N/RWA/1366, G/TBT/N/TZA/1521, G/TBT/N/UGA/2323</v>
      </c>
      <c r="D216" s="8" t="s">
        <v>1031</v>
      </c>
      <c r="E216" s="8" t="s">
        <v>1032</v>
      </c>
      <c r="F216" s="8" t="s">
        <v>1033</v>
      </c>
      <c r="G216" s="8" t="s">
        <v>452</v>
      </c>
      <c r="H216" s="8" t="s">
        <v>1034</v>
      </c>
      <c r="I216" s="8" t="s">
        <v>1035</v>
      </c>
      <c r="J216" s="8" t="s">
        <v>43</v>
      </c>
      <c r="K216" s="8" t="s">
        <v>240</v>
      </c>
      <c r="L216" s="6"/>
      <c r="M216" s="7">
        <v>46150</v>
      </c>
      <c r="N216" s="7" t="s">
        <v>79</v>
      </c>
      <c r="O216" s="7" t="s">
        <v>79</v>
      </c>
      <c r="P216" s="6" t="s">
        <v>62</v>
      </c>
      <c r="Q216" s="8" t="s">
        <v>1036</v>
      </c>
      <c r="R216" t="str">
        <f>HYPERLINK("https://docs.wto.org/imrd/directdoc.asp?DDFDocuments/t/G/TBTN26/BDI724.docx", "https://docs.wto.org/imrd/directdoc.asp?DDFDocuments/t/G/TBTN26/BDI724.docx")</f>
        <v>https://docs.wto.org/imrd/directdoc.asp?DDFDocuments/t/G/TBTN26/BDI724.docx</v>
      </c>
      <c r="S216" t="str">
        <f>HYPERLINK("https://docs.wto.org/imrd/directdoc.asp?DDFDocuments/u/G/TBTN26/BDI724.docx", "https://docs.wto.org/imrd/directdoc.asp?DDFDocuments/u/G/TBTN26/BDI724.docx")</f>
        <v>https://docs.wto.org/imrd/directdoc.asp?DDFDocuments/u/G/TBTN26/BDI724.docx</v>
      </c>
      <c r="T216" t="str">
        <f>HYPERLINK("https://docs.wto.org/imrd/directdoc.asp?DDFDocuments/v/G/TBTN26/BDI724.docx", "https://docs.wto.org/imrd/directdoc.asp?DDFDocuments/v/G/TBTN26/BDI724.docx")</f>
        <v>https://docs.wto.org/imrd/directdoc.asp?DDFDocuments/v/G/TBTN26/BDI724.docx</v>
      </c>
      <c r="U216" t="s">
        <v>64</v>
      </c>
      <c r="V216" t="s">
        <v>46</v>
      </c>
      <c r="W216" t="s">
        <v>64</v>
      </c>
      <c r="X216" t="s">
        <v>46</v>
      </c>
      <c r="Y216" t="s">
        <v>46</v>
      </c>
      <c r="Z216" t="s">
        <v>46</v>
      </c>
      <c r="AA216" t="s">
        <v>46</v>
      </c>
      <c r="AB216" s="2" t="s">
        <v>1037</v>
      </c>
      <c r="AC216" t="s">
        <v>43</v>
      </c>
      <c r="AD216" t="s">
        <v>43</v>
      </c>
      <c r="AE216" t="s">
        <v>43</v>
      </c>
      <c r="AF216" t="s">
        <v>43</v>
      </c>
      <c r="AG216" t="s">
        <v>43</v>
      </c>
      <c r="AH216" s="2" t="s">
        <v>43</v>
      </c>
    </row>
    <row r="217" spans="1:34" ht="409.5">
      <c r="A217" s="6" t="s">
        <v>356</v>
      </c>
      <c r="B217" s="7">
        <v>46090</v>
      </c>
      <c r="C217" s="9" t="str">
        <f>HYPERLINK("https://eping.wto.org/en/Search?viewData= G/TBT/N/EU/1196"," G/TBT/N/EU/1196")</f>
        <v xml:space="preserve"> G/TBT/N/EU/1196</v>
      </c>
      <c r="D217" s="8" t="s">
        <v>1140</v>
      </c>
      <c r="E217" s="8" t="s">
        <v>1141</v>
      </c>
      <c r="F217" s="8" t="s">
        <v>1142</v>
      </c>
      <c r="G217" s="8" t="s">
        <v>43</v>
      </c>
      <c r="H217" s="8" t="s">
        <v>1143</v>
      </c>
      <c r="I217" s="8" t="s">
        <v>1144</v>
      </c>
      <c r="J217" s="8" t="s">
        <v>1145</v>
      </c>
      <c r="K217" s="8" t="s">
        <v>43</v>
      </c>
      <c r="L217" s="6"/>
      <c r="M217" s="7">
        <v>46150</v>
      </c>
      <c r="N217" s="7" t="s">
        <v>79</v>
      </c>
      <c r="O217" s="7" t="s">
        <v>1146</v>
      </c>
      <c r="P217" s="6" t="s">
        <v>62</v>
      </c>
      <c r="Q217" s="8" t="s">
        <v>1147</v>
      </c>
      <c r="R217" t="str">
        <f>HYPERLINK("https://docs.wto.org/imrd/directdoc.asp?DDFDocuments/t/G/TBTN26/EU1196.docx", "https://docs.wto.org/imrd/directdoc.asp?DDFDocuments/t/G/TBTN26/EU1196.docx")</f>
        <v>https://docs.wto.org/imrd/directdoc.asp?DDFDocuments/t/G/TBTN26/EU1196.docx</v>
      </c>
      <c r="S217" t="str">
        <f>HYPERLINK("https://docs.wto.org/imrd/directdoc.asp?DDFDocuments/u/G/TBTN26/EU1196.docx", "https://docs.wto.org/imrd/directdoc.asp?DDFDocuments/u/G/TBTN26/EU1196.docx")</f>
        <v>https://docs.wto.org/imrd/directdoc.asp?DDFDocuments/u/G/TBTN26/EU1196.docx</v>
      </c>
      <c r="T217" t="str">
        <f>HYPERLINK("https://docs.wto.org/imrd/directdoc.asp?DDFDocuments/v/G/TBTN26/EU1196.docx", "https://docs.wto.org/imrd/directdoc.asp?DDFDocuments/v/G/TBTN26/EU1196.docx")</f>
        <v>https://docs.wto.org/imrd/directdoc.asp?DDFDocuments/v/G/TBTN26/EU1196.docx</v>
      </c>
      <c r="U217" t="s">
        <v>64</v>
      </c>
      <c r="V217" t="s">
        <v>46</v>
      </c>
      <c r="W217" t="s">
        <v>46</v>
      </c>
      <c r="X217" t="s">
        <v>46</v>
      </c>
      <c r="Y217" t="s">
        <v>46</v>
      </c>
      <c r="Z217" t="s">
        <v>46</v>
      </c>
      <c r="AA217" t="s">
        <v>46</v>
      </c>
      <c r="AB217" s="2" t="s">
        <v>1148</v>
      </c>
      <c r="AC217" t="s">
        <v>43</v>
      </c>
      <c r="AD217" t="s">
        <v>43</v>
      </c>
      <c r="AE217" t="s">
        <v>43</v>
      </c>
      <c r="AF217" t="s">
        <v>43</v>
      </c>
      <c r="AG217" t="s">
        <v>43</v>
      </c>
      <c r="AH217" s="2" t="s">
        <v>43</v>
      </c>
    </row>
    <row r="218" spans="1:34" ht="45">
      <c r="A218" s="6" t="s">
        <v>509</v>
      </c>
      <c r="B218" s="7">
        <v>46090</v>
      </c>
      <c r="C218" s="9" t="str">
        <f>HYPERLINK("https://eping.wto.org/en/Search?viewData= G/SPS/N/BDI/146, G/SPS/N/KEN/354, G/SPS/N/RWA/139, G/SPS/N/TZA/505, G/SPS/N/UGA/467"," G/SPS/N/BDI/146, G/SPS/N/KEN/354, G/SPS/N/RWA/139, G/SPS/N/TZA/505, G/SPS/N/UGA/467")</f>
        <v xml:space="preserve"> G/SPS/N/BDI/146, G/SPS/N/KEN/354, G/SPS/N/RWA/139, G/SPS/N/TZA/505, G/SPS/N/UGA/467</v>
      </c>
      <c r="D218" s="8" t="s">
        <v>1031</v>
      </c>
      <c r="E218" s="8" t="s">
        <v>1089</v>
      </c>
      <c r="F218" s="8" t="s">
        <v>1040</v>
      </c>
      <c r="G218" s="8" t="s">
        <v>452</v>
      </c>
      <c r="H218" s="8" t="s">
        <v>1041</v>
      </c>
      <c r="I218" s="8" t="s">
        <v>1090</v>
      </c>
      <c r="J218" s="8" t="s">
        <v>43</v>
      </c>
      <c r="K218" s="8" t="s">
        <v>310</v>
      </c>
      <c r="L218" s="6"/>
      <c r="M218" s="7">
        <v>46150</v>
      </c>
      <c r="N218" s="7" t="s">
        <v>304</v>
      </c>
      <c r="O218" s="7" t="s">
        <v>304</v>
      </c>
      <c r="P218" s="6" t="s">
        <v>62</v>
      </c>
      <c r="Q218" s="8" t="s">
        <v>1091</v>
      </c>
      <c r="R218" t="str">
        <f>HYPERLINK("https://docs.wto.org/imrd/directdoc.asp?DDFDocuments/t/G/SPS/NBDI146.docx", "https://docs.wto.org/imrd/directdoc.asp?DDFDocuments/t/G/SPS/NBDI146.docx")</f>
        <v>https://docs.wto.org/imrd/directdoc.asp?DDFDocuments/t/G/SPS/NBDI146.docx</v>
      </c>
      <c r="S218" t="str">
        <f>HYPERLINK("https://docs.wto.org/imrd/directdoc.asp?DDFDocuments/u/G/SPS/NBDI146.docx", "https://docs.wto.org/imrd/directdoc.asp?DDFDocuments/u/G/SPS/NBDI146.docx")</f>
        <v>https://docs.wto.org/imrd/directdoc.asp?DDFDocuments/u/G/SPS/NBDI146.docx</v>
      </c>
      <c r="T218" t="str">
        <f>HYPERLINK("https://docs.wto.org/imrd/directdoc.asp?DDFDocuments/v/G/SPS/NBDI146.docx", "https://docs.wto.org/imrd/directdoc.asp?DDFDocuments/v/G/SPS/NBDI146.docx")</f>
        <v>https://docs.wto.org/imrd/directdoc.asp?DDFDocuments/v/G/SPS/NBDI146.docx</v>
      </c>
      <c r="U218" t="s">
        <v>43</v>
      </c>
      <c r="V218" t="s">
        <v>43</v>
      </c>
      <c r="W218" t="s">
        <v>43</v>
      </c>
      <c r="X218" t="s">
        <v>43</v>
      </c>
      <c r="Y218" t="s">
        <v>43</v>
      </c>
      <c r="Z218" t="s">
        <v>43</v>
      </c>
      <c r="AA218" t="s">
        <v>43</v>
      </c>
      <c r="AB218" s="2" t="s">
        <v>43</v>
      </c>
      <c r="AC218" t="s">
        <v>64</v>
      </c>
      <c r="AD218" t="s">
        <v>46</v>
      </c>
      <c r="AE218" t="s">
        <v>46</v>
      </c>
      <c r="AF218" t="s">
        <v>46</v>
      </c>
      <c r="AG218" t="s">
        <v>64</v>
      </c>
      <c r="AH218" s="2" t="s">
        <v>43</v>
      </c>
    </row>
    <row r="219" spans="1:34" ht="45">
      <c r="A219" s="6" t="s">
        <v>577</v>
      </c>
      <c r="B219" s="7">
        <v>46090</v>
      </c>
      <c r="C219" s="9" t="str">
        <f>HYPERLINK("https://eping.wto.org/en/Search?viewData= G/SPS/N/BDI/146, G/SPS/N/KEN/354, G/SPS/N/RWA/139, G/SPS/N/TZA/505, G/SPS/N/UGA/467"," G/SPS/N/BDI/146, G/SPS/N/KEN/354, G/SPS/N/RWA/139, G/SPS/N/TZA/505, G/SPS/N/UGA/467")</f>
        <v xml:space="preserve"> G/SPS/N/BDI/146, G/SPS/N/KEN/354, G/SPS/N/RWA/139, G/SPS/N/TZA/505, G/SPS/N/UGA/467</v>
      </c>
      <c r="D219" s="8" t="s">
        <v>1031</v>
      </c>
      <c r="E219" s="8" t="s">
        <v>1089</v>
      </c>
      <c r="F219" s="8" t="s">
        <v>1040</v>
      </c>
      <c r="G219" s="8" t="s">
        <v>452</v>
      </c>
      <c r="H219" s="8" t="s">
        <v>1041</v>
      </c>
      <c r="I219" s="8" t="s">
        <v>1090</v>
      </c>
      <c r="J219" s="8" t="s">
        <v>43</v>
      </c>
      <c r="K219" s="8" t="s">
        <v>157</v>
      </c>
      <c r="L219" s="6"/>
      <c r="M219" s="7">
        <v>46150</v>
      </c>
      <c r="N219" s="7" t="s">
        <v>304</v>
      </c>
      <c r="O219" s="7" t="s">
        <v>304</v>
      </c>
      <c r="P219" s="6" t="s">
        <v>62</v>
      </c>
      <c r="Q219" s="8" t="s">
        <v>1091</v>
      </c>
      <c r="R219" t="str">
        <f>HYPERLINK("https://docs.wto.org/imrd/directdoc.asp?DDFDocuments/t/G/SPS/NBDI146.docx", "https://docs.wto.org/imrd/directdoc.asp?DDFDocuments/t/G/SPS/NBDI146.docx")</f>
        <v>https://docs.wto.org/imrd/directdoc.asp?DDFDocuments/t/G/SPS/NBDI146.docx</v>
      </c>
      <c r="S219" t="str">
        <f>HYPERLINK("https://docs.wto.org/imrd/directdoc.asp?DDFDocuments/u/G/SPS/NBDI146.docx", "https://docs.wto.org/imrd/directdoc.asp?DDFDocuments/u/G/SPS/NBDI146.docx")</f>
        <v>https://docs.wto.org/imrd/directdoc.asp?DDFDocuments/u/G/SPS/NBDI146.docx</v>
      </c>
      <c r="T219" t="str">
        <f>HYPERLINK("https://docs.wto.org/imrd/directdoc.asp?DDFDocuments/v/G/SPS/NBDI146.docx", "https://docs.wto.org/imrd/directdoc.asp?DDFDocuments/v/G/SPS/NBDI146.docx")</f>
        <v>https://docs.wto.org/imrd/directdoc.asp?DDFDocuments/v/G/SPS/NBDI146.docx</v>
      </c>
      <c r="U219" t="s">
        <v>43</v>
      </c>
      <c r="V219" t="s">
        <v>43</v>
      </c>
      <c r="W219" t="s">
        <v>43</v>
      </c>
      <c r="X219" t="s">
        <v>43</v>
      </c>
      <c r="Y219" t="s">
        <v>43</v>
      </c>
      <c r="Z219" t="s">
        <v>43</v>
      </c>
      <c r="AA219" t="s">
        <v>43</v>
      </c>
      <c r="AB219" s="2" t="s">
        <v>43</v>
      </c>
      <c r="AC219" t="s">
        <v>64</v>
      </c>
      <c r="AD219" t="s">
        <v>46</v>
      </c>
      <c r="AE219" t="s">
        <v>46</v>
      </c>
      <c r="AF219" t="s">
        <v>46</v>
      </c>
      <c r="AG219" t="s">
        <v>64</v>
      </c>
      <c r="AH219" s="2" t="s">
        <v>43</v>
      </c>
    </row>
    <row r="220" spans="1:34" ht="45">
      <c r="A220" s="6" t="s">
        <v>108</v>
      </c>
      <c r="B220" s="7">
        <v>46090</v>
      </c>
      <c r="C220" s="9" t="str">
        <f>HYPERLINK("https://eping.wto.org/en/Search?viewData= G/SPS/N/BDI/146, G/SPS/N/KEN/354, G/SPS/N/RWA/139, G/SPS/N/TZA/505, G/SPS/N/UGA/467"," G/SPS/N/BDI/146, G/SPS/N/KEN/354, G/SPS/N/RWA/139, G/SPS/N/TZA/505, G/SPS/N/UGA/467")</f>
        <v xml:space="preserve"> G/SPS/N/BDI/146, G/SPS/N/KEN/354, G/SPS/N/RWA/139, G/SPS/N/TZA/505, G/SPS/N/UGA/467</v>
      </c>
      <c r="D220" s="8" t="s">
        <v>1031</v>
      </c>
      <c r="E220" s="8" t="s">
        <v>1089</v>
      </c>
      <c r="F220" s="8" t="s">
        <v>1040</v>
      </c>
      <c r="G220" s="8" t="s">
        <v>452</v>
      </c>
      <c r="H220" s="8" t="s">
        <v>1041</v>
      </c>
      <c r="I220" s="8" t="s">
        <v>1090</v>
      </c>
      <c r="J220" s="8" t="s">
        <v>43</v>
      </c>
      <c r="K220" s="8" t="s">
        <v>157</v>
      </c>
      <c r="L220" s="6"/>
      <c r="M220" s="7">
        <v>46150</v>
      </c>
      <c r="N220" s="7" t="s">
        <v>304</v>
      </c>
      <c r="O220" s="7" t="s">
        <v>304</v>
      </c>
      <c r="P220" s="6" t="s">
        <v>62</v>
      </c>
      <c r="Q220" s="8" t="s">
        <v>1091</v>
      </c>
      <c r="R220" t="str">
        <f>HYPERLINK("https://docs.wto.org/imrd/directdoc.asp?DDFDocuments/t/G/SPS/NBDI146.docx", "https://docs.wto.org/imrd/directdoc.asp?DDFDocuments/t/G/SPS/NBDI146.docx")</f>
        <v>https://docs.wto.org/imrd/directdoc.asp?DDFDocuments/t/G/SPS/NBDI146.docx</v>
      </c>
      <c r="S220" t="str">
        <f>HYPERLINK("https://docs.wto.org/imrd/directdoc.asp?DDFDocuments/u/G/SPS/NBDI146.docx", "https://docs.wto.org/imrd/directdoc.asp?DDFDocuments/u/G/SPS/NBDI146.docx")</f>
        <v>https://docs.wto.org/imrd/directdoc.asp?DDFDocuments/u/G/SPS/NBDI146.docx</v>
      </c>
      <c r="T220" t="str">
        <f>HYPERLINK("https://docs.wto.org/imrd/directdoc.asp?DDFDocuments/v/G/SPS/NBDI146.docx", "https://docs.wto.org/imrd/directdoc.asp?DDFDocuments/v/G/SPS/NBDI146.docx")</f>
        <v>https://docs.wto.org/imrd/directdoc.asp?DDFDocuments/v/G/SPS/NBDI146.docx</v>
      </c>
      <c r="U220" t="s">
        <v>43</v>
      </c>
      <c r="V220" t="s">
        <v>43</v>
      </c>
      <c r="W220" t="s">
        <v>43</v>
      </c>
      <c r="X220" t="s">
        <v>43</v>
      </c>
      <c r="Y220" t="s">
        <v>43</v>
      </c>
      <c r="Z220" t="s">
        <v>43</v>
      </c>
      <c r="AA220" t="s">
        <v>43</v>
      </c>
      <c r="AB220" s="2" t="s">
        <v>43</v>
      </c>
      <c r="AC220" t="s">
        <v>64</v>
      </c>
      <c r="AD220" t="s">
        <v>46</v>
      </c>
      <c r="AE220" t="s">
        <v>46</v>
      </c>
      <c r="AF220" t="s">
        <v>46</v>
      </c>
      <c r="AG220" t="s">
        <v>64</v>
      </c>
      <c r="AH220" s="2" t="s">
        <v>43</v>
      </c>
    </row>
    <row r="221" spans="1:34" ht="165">
      <c r="A221" s="6" t="s">
        <v>108</v>
      </c>
      <c r="B221" s="7">
        <v>46090</v>
      </c>
      <c r="C221" s="9" t="str">
        <f>HYPERLINK("https://eping.wto.org/en/Search?viewData= G/TBT/N/BDI/725, G/TBT/N/KEN/1998, G/TBT/N/RWA/1367, G/TBT/N/TZA/1522, G/TBT/N/UGA/2324"," G/TBT/N/BDI/725, G/TBT/N/KEN/1998, G/TBT/N/RWA/1367, G/TBT/N/TZA/1522, G/TBT/N/UGA/2324")</f>
        <v xml:space="preserve"> G/TBT/N/BDI/725, G/TBT/N/KEN/1998, G/TBT/N/RWA/1367, G/TBT/N/TZA/1522, G/TBT/N/UGA/2324</v>
      </c>
      <c r="D221" s="8" t="s">
        <v>1038</v>
      </c>
      <c r="E221" s="8" t="s">
        <v>1039</v>
      </c>
      <c r="F221" s="8" t="s">
        <v>1040</v>
      </c>
      <c r="G221" s="8" t="s">
        <v>452</v>
      </c>
      <c r="H221" s="8" t="s">
        <v>1041</v>
      </c>
      <c r="I221" s="8" t="s">
        <v>1042</v>
      </c>
      <c r="J221" s="8" t="s">
        <v>43</v>
      </c>
      <c r="K221" s="8" t="s">
        <v>240</v>
      </c>
      <c r="L221" s="6"/>
      <c r="M221" s="7">
        <v>46150</v>
      </c>
      <c r="N221" s="7" t="s">
        <v>79</v>
      </c>
      <c r="O221" s="7" t="s">
        <v>79</v>
      </c>
      <c r="P221" s="6" t="s">
        <v>62</v>
      </c>
      <c r="Q221" s="8" t="s">
        <v>1043</v>
      </c>
      <c r="R221" t="str">
        <f>HYPERLINK("https://docs.wto.org/imrd/directdoc.asp?DDFDocuments/t/G/TBTN26/BDI725.docx", "https://docs.wto.org/imrd/directdoc.asp?DDFDocuments/t/G/TBTN26/BDI725.docx")</f>
        <v>https://docs.wto.org/imrd/directdoc.asp?DDFDocuments/t/G/TBTN26/BDI725.docx</v>
      </c>
      <c r="S221" t="str">
        <f>HYPERLINK("https://docs.wto.org/imrd/directdoc.asp?DDFDocuments/u/G/TBTN26/BDI725.docx", "https://docs.wto.org/imrd/directdoc.asp?DDFDocuments/u/G/TBTN26/BDI725.docx")</f>
        <v>https://docs.wto.org/imrd/directdoc.asp?DDFDocuments/u/G/TBTN26/BDI725.docx</v>
      </c>
      <c r="T221" t="str">
        <f>HYPERLINK("https://docs.wto.org/imrd/directdoc.asp?DDFDocuments/v/G/TBTN26/BDI725.docx", "https://docs.wto.org/imrd/directdoc.asp?DDFDocuments/v/G/TBTN26/BDI725.docx")</f>
        <v>https://docs.wto.org/imrd/directdoc.asp?DDFDocuments/v/G/TBTN26/BDI725.docx</v>
      </c>
      <c r="U221" t="s">
        <v>46</v>
      </c>
      <c r="V221" t="s">
        <v>46</v>
      </c>
      <c r="W221" t="s">
        <v>64</v>
      </c>
      <c r="X221" t="s">
        <v>46</v>
      </c>
      <c r="Y221" t="s">
        <v>46</v>
      </c>
      <c r="Z221" t="s">
        <v>46</v>
      </c>
      <c r="AA221" t="s">
        <v>46</v>
      </c>
      <c r="AB221" s="2" t="s">
        <v>1044</v>
      </c>
      <c r="AC221" t="s">
        <v>43</v>
      </c>
      <c r="AD221" t="s">
        <v>43</v>
      </c>
      <c r="AE221" t="s">
        <v>43</v>
      </c>
      <c r="AF221" t="s">
        <v>43</v>
      </c>
      <c r="AG221" t="s">
        <v>43</v>
      </c>
      <c r="AH221" s="2" t="s">
        <v>43</v>
      </c>
    </row>
    <row r="222" spans="1:34" ht="300">
      <c r="A222" s="6" t="s">
        <v>132</v>
      </c>
      <c r="B222" s="7">
        <v>46090</v>
      </c>
      <c r="C222" s="9" t="str">
        <f>HYPERLINK("https://eping.wto.org/en/Search?viewData= G/TBT/N/USA/1678/Add.4"," G/TBT/N/USA/1678/Add.4")</f>
        <v xml:space="preserve"> G/TBT/N/USA/1678/Add.4</v>
      </c>
      <c r="D222" s="8" t="s">
        <v>1149</v>
      </c>
      <c r="E222" s="8" t="s">
        <v>1150</v>
      </c>
      <c r="F222" s="8" t="s">
        <v>1151</v>
      </c>
      <c r="G222" s="8" t="s">
        <v>43</v>
      </c>
      <c r="H222" s="8" t="s">
        <v>1152</v>
      </c>
      <c r="I222" s="8" t="s">
        <v>1153</v>
      </c>
      <c r="J222" s="8" t="s">
        <v>43</v>
      </c>
      <c r="K222" s="8" t="s">
        <v>43</v>
      </c>
      <c r="L222" s="6"/>
      <c r="M222" s="7" t="s">
        <v>43</v>
      </c>
      <c r="N222" s="7"/>
      <c r="O222" s="7"/>
      <c r="P222" s="6" t="s">
        <v>44</v>
      </c>
      <c r="Q222" s="8" t="s">
        <v>1154</v>
      </c>
      <c r="R222" t="str">
        <f>HYPERLINK("https://docs.wto.org/imrd/directdoc.asp?DDFDocuments/t/G/TBTN20/USA1678A4.docx", "https://docs.wto.org/imrd/directdoc.asp?DDFDocuments/t/G/TBTN20/USA1678A4.docx")</f>
        <v>https://docs.wto.org/imrd/directdoc.asp?DDFDocuments/t/G/TBTN20/USA1678A4.docx</v>
      </c>
      <c r="S222" t="str">
        <f>HYPERLINK("https://docs.wto.org/imrd/directdoc.asp?DDFDocuments/u/G/TBTN20/USA1678A4.docx", "https://docs.wto.org/imrd/directdoc.asp?DDFDocuments/u/G/TBTN20/USA1678A4.docx")</f>
        <v>https://docs.wto.org/imrd/directdoc.asp?DDFDocuments/u/G/TBTN20/USA1678A4.docx</v>
      </c>
      <c r="T222" t="str">
        <f>HYPERLINK("https://docs.wto.org/imrd/directdoc.asp?DDFDocuments/v/G/TBTN20/USA1678A4.docx", "https://docs.wto.org/imrd/directdoc.asp?DDFDocuments/v/G/TBTN20/USA1678A4.docx")</f>
        <v>https://docs.wto.org/imrd/directdoc.asp?DDFDocuments/v/G/TBTN20/USA1678A4.docx</v>
      </c>
      <c r="U222" t="s">
        <v>64</v>
      </c>
      <c r="V222" t="s">
        <v>46</v>
      </c>
      <c r="W222" t="s">
        <v>46</v>
      </c>
      <c r="X222" t="s">
        <v>46</v>
      </c>
      <c r="Y222" t="s">
        <v>46</v>
      </c>
      <c r="Z222" t="s">
        <v>46</v>
      </c>
      <c r="AA222" t="s">
        <v>46</v>
      </c>
      <c r="AB222" s="2" t="s">
        <v>43</v>
      </c>
      <c r="AC222" t="s">
        <v>43</v>
      </c>
      <c r="AD222" t="s">
        <v>43</v>
      </c>
      <c r="AE222" t="s">
        <v>43</v>
      </c>
      <c r="AF222" t="s">
        <v>43</v>
      </c>
      <c r="AG222" t="s">
        <v>43</v>
      </c>
      <c r="AH222" s="2" t="s">
        <v>43</v>
      </c>
    </row>
    <row r="223" spans="1:34" ht="300">
      <c r="A223" s="6" t="s">
        <v>1155</v>
      </c>
      <c r="B223" s="7">
        <v>46090</v>
      </c>
      <c r="C223" s="9" t="str">
        <f>HYPERLINK("https://eping.wto.org/en/Search?viewData= G/TBT/N/CZE/259/Add.1"," G/TBT/N/CZE/259/Add.1")</f>
        <v xml:space="preserve"> G/TBT/N/CZE/259/Add.1</v>
      </c>
      <c r="D223" s="8" t="s">
        <v>1156</v>
      </c>
      <c r="E223" s="8" t="s">
        <v>1157</v>
      </c>
      <c r="F223" s="8" t="s">
        <v>1158</v>
      </c>
      <c r="G223" s="8" t="s">
        <v>43</v>
      </c>
      <c r="H223" s="8" t="s">
        <v>1159</v>
      </c>
      <c r="I223" s="8" t="s">
        <v>275</v>
      </c>
      <c r="J223" s="8" t="s">
        <v>1160</v>
      </c>
      <c r="K223" s="8" t="s">
        <v>43</v>
      </c>
      <c r="L223" s="6"/>
      <c r="M223" s="7" t="s">
        <v>43</v>
      </c>
      <c r="N223" s="7"/>
      <c r="O223" s="7"/>
      <c r="P223" s="6" t="s">
        <v>44</v>
      </c>
      <c r="Q223" s="8" t="s">
        <v>1161</v>
      </c>
      <c r="R223" t="str">
        <f>HYPERLINK("https://docs.wto.org/imrd/directdoc.asp?DDFDocuments/t/G/TBTN25/CZE259A1.docx", "https://docs.wto.org/imrd/directdoc.asp?DDFDocuments/t/G/TBTN25/CZE259A1.docx")</f>
        <v>https://docs.wto.org/imrd/directdoc.asp?DDFDocuments/t/G/TBTN25/CZE259A1.docx</v>
      </c>
      <c r="S223" t="str">
        <f>HYPERLINK("https://docs.wto.org/imrd/directdoc.asp?DDFDocuments/u/G/TBTN25/CZE259A1.docx", "https://docs.wto.org/imrd/directdoc.asp?DDFDocuments/u/G/TBTN25/CZE259A1.docx")</f>
        <v>https://docs.wto.org/imrd/directdoc.asp?DDFDocuments/u/G/TBTN25/CZE259A1.docx</v>
      </c>
      <c r="T223" t="str">
        <f>HYPERLINK("https://docs.wto.org/imrd/directdoc.asp?DDFDocuments/v/G/TBTN25/CZE259A1.docx", "https://docs.wto.org/imrd/directdoc.asp?DDFDocuments/v/G/TBTN25/CZE259A1.docx")</f>
        <v>https://docs.wto.org/imrd/directdoc.asp?DDFDocuments/v/G/TBTN25/CZE259A1.docx</v>
      </c>
      <c r="U223" t="s">
        <v>46</v>
      </c>
      <c r="V223" t="s">
        <v>46</v>
      </c>
      <c r="W223" t="s">
        <v>46</v>
      </c>
      <c r="X223" t="s">
        <v>46</v>
      </c>
      <c r="Y223" t="s">
        <v>46</v>
      </c>
      <c r="Z223" t="s">
        <v>46</v>
      </c>
      <c r="AA223" t="s">
        <v>46</v>
      </c>
      <c r="AB223" s="2" t="s">
        <v>43</v>
      </c>
      <c r="AC223" t="s">
        <v>43</v>
      </c>
      <c r="AD223" t="s">
        <v>43</v>
      </c>
      <c r="AE223" t="s">
        <v>43</v>
      </c>
      <c r="AF223" t="s">
        <v>43</v>
      </c>
      <c r="AG223" t="s">
        <v>43</v>
      </c>
      <c r="AH223" s="2" t="s">
        <v>43</v>
      </c>
    </row>
    <row r="224" spans="1:34" ht="60">
      <c r="A224" s="6" t="s">
        <v>880</v>
      </c>
      <c r="B224" s="7">
        <v>46090</v>
      </c>
      <c r="C224" s="9" t="str">
        <f>HYPERLINK("https://eping.wto.org/en/Search?viewData= G/SPS/N/ECU/390"," G/SPS/N/ECU/390")</f>
        <v xml:space="preserve"> G/SPS/N/ECU/390</v>
      </c>
      <c r="D224" s="8" t="s">
        <v>1162</v>
      </c>
      <c r="E224" s="8" t="s">
        <v>1163</v>
      </c>
      <c r="F224" s="8" t="s">
        <v>1164</v>
      </c>
      <c r="G224" s="8" t="s">
        <v>1165</v>
      </c>
      <c r="H224" s="8" t="s">
        <v>43</v>
      </c>
      <c r="I224" s="8" t="s">
        <v>254</v>
      </c>
      <c r="J224" s="8" t="s">
        <v>43</v>
      </c>
      <c r="K224" s="8" t="s">
        <v>512</v>
      </c>
      <c r="L224" s="6" t="s">
        <v>1049</v>
      </c>
      <c r="M224" s="7">
        <v>46150</v>
      </c>
      <c r="N224" s="7">
        <v>45924</v>
      </c>
      <c r="O224" s="7">
        <v>45924</v>
      </c>
      <c r="P224" s="6" t="s">
        <v>62</v>
      </c>
      <c r="Q224" s="8" t="s">
        <v>1166</v>
      </c>
      <c r="R224" t="str">
        <f>HYPERLINK("https://docs.wto.org/imrd/directdoc.asp?DDFDocuments/t/G/SPS/NECU390.docx", "https://docs.wto.org/imrd/directdoc.asp?DDFDocuments/t/G/SPS/NECU390.docx")</f>
        <v>https://docs.wto.org/imrd/directdoc.asp?DDFDocuments/t/G/SPS/NECU390.docx</v>
      </c>
      <c r="S224" t="str">
        <f>HYPERLINK("https://docs.wto.org/imrd/directdoc.asp?DDFDocuments/u/G/SPS/NECU390.docx", "https://docs.wto.org/imrd/directdoc.asp?DDFDocuments/u/G/SPS/NECU390.docx")</f>
        <v>https://docs.wto.org/imrd/directdoc.asp?DDFDocuments/u/G/SPS/NECU390.docx</v>
      </c>
      <c r="T224" t="str">
        <f>HYPERLINK("https://docs.wto.org/imrd/directdoc.asp?DDFDocuments/v/G/SPS/NECU390.docx", "https://docs.wto.org/imrd/directdoc.asp?DDFDocuments/v/G/SPS/NECU390.docx")</f>
        <v>https://docs.wto.org/imrd/directdoc.asp?DDFDocuments/v/G/SPS/NECU390.docx</v>
      </c>
      <c r="U224" t="s">
        <v>43</v>
      </c>
      <c r="V224" t="s">
        <v>43</v>
      </c>
      <c r="W224" t="s">
        <v>43</v>
      </c>
      <c r="X224" t="s">
        <v>43</v>
      </c>
      <c r="Y224" t="s">
        <v>43</v>
      </c>
      <c r="Z224" t="s">
        <v>43</v>
      </c>
      <c r="AA224" t="s">
        <v>43</v>
      </c>
      <c r="AB224" s="2" t="s">
        <v>43</v>
      </c>
      <c r="AC224" t="s">
        <v>46</v>
      </c>
      <c r="AD224" t="s">
        <v>46</v>
      </c>
      <c r="AE224" t="s">
        <v>64</v>
      </c>
      <c r="AF224" t="s">
        <v>46</v>
      </c>
      <c r="AG224" t="s">
        <v>64</v>
      </c>
      <c r="AH224" s="2" t="s">
        <v>1167</v>
      </c>
    </row>
    <row r="225" spans="1:34" ht="300">
      <c r="A225" s="6" t="s">
        <v>390</v>
      </c>
      <c r="B225" s="7">
        <v>46087</v>
      </c>
      <c r="C225" s="9" t="str">
        <f>HYPERLINK("https://eping.wto.org/en/Search?viewData= G/TBT/N/TZA/1514"," G/TBT/N/TZA/1514")</f>
        <v xml:space="preserve"> G/TBT/N/TZA/1514</v>
      </c>
      <c r="D225" s="8" t="s">
        <v>1168</v>
      </c>
      <c r="E225" s="8" t="s">
        <v>1169</v>
      </c>
      <c r="F225" s="8" t="s">
        <v>1170</v>
      </c>
      <c r="G225" s="8" t="s">
        <v>1171</v>
      </c>
      <c r="H225" s="8" t="s">
        <v>1172</v>
      </c>
      <c r="I225" s="8" t="s">
        <v>684</v>
      </c>
      <c r="J225" s="8" t="s">
        <v>43</v>
      </c>
      <c r="K225" s="8" t="s">
        <v>240</v>
      </c>
      <c r="L225" s="6"/>
      <c r="M225" s="7">
        <v>46147</v>
      </c>
      <c r="N225" s="7" t="s">
        <v>79</v>
      </c>
      <c r="O225" s="7" t="s">
        <v>79</v>
      </c>
      <c r="P225" s="6" t="s">
        <v>62</v>
      </c>
      <c r="Q225" s="8" t="s">
        <v>1173</v>
      </c>
      <c r="R225" t="str">
        <f>HYPERLINK("https://docs.wto.org/imrd/directdoc.asp?DDFDocuments/t/G/TBTN26/TZA1514.docx", "https://docs.wto.org/imrd/directdoc.asp?DDFDocuments/t/G/TBTN26/TZA1514.docx")</f>
        <v>https://docs.wto.org/imrd/directdoc.asp?DDFDocuments/t/G/TBTN26/TZA1514.docx</v>
      </c>
      <c r="S225" t="str">
        <f>HYPERLINK("https://docs.wto.org/imrd/directdoc.asp?DDFDocuments/u/G/TBTN26/TZA1514.docx", "https://docs.wto.org/imrd/directdoc.asp?DDFDocuments/u/G/TBTN26/TZA1514.docx")</f>
        <v>https://docs.wto.org/imrd/directdoc.asp?DDFDocuments/u/G/TBTN26/TZA1514.docx</v>
      </c>
      <c r="T225" t="str">
        <f>HYPERLINK("https://docs.wto.org/imrd/directdoc.asp?DDFDocuments/v/G/TBTN26/TZA1514.docx", "https://docs.wto.org/imrd/directdoc.asp?DDFDocuments/v/G/TBTN26/TZA1514.docx")</f>
        <v>https://docs.wto.org/imrd/directdoc.asp?DDFDocuments/v/G/TBTN26/TZA1514.docx</v>
      </c>
      <c r="U225" t="s">
        <v>64</v>
      </c>
      <c r="V225" t="s">
        <v>46</v>
      </c>
      <c r="W225" t="s">
        <v>46</v>
      </c>
      <c r="X225" t="s">
        <v>46</v>
      </c>
      <c r="Y225" t="s">
        <v>46</v>
      </c>
      <c r="Z225" t="s">
        <v>46</v>
      </c>
      <c r="AA225" t="s">
        <v>46</v>
      </c>
      <c r="AB225" s="2" t="s">
        <v>1174</v>
      </c>
      <c r="AC225" t="s">
        <v>43</v>
      </c>
      <c r="AD225" t="s">
        <v>43</v>
      </c>
      <c r="AE225" t="s">
        <v>43</v>
      </c>
      <c r="AF225" t="s">
        <v>43</v>
      </c>
      <c r="AG225" t="s">
        <v>43</v>
      </c>
      <c r="AH225" s="2" t="s">
        <v>43</v>
      </c>
    </row>
    <row r="226" spans="1:34" ht="300">
      <c r="A226" s="6" t="s">
        <v>390</v>
      </c>
      <c r="B226" s="7">
        <v>46087</v>
      </c>
      <c r="C226" s="9" t="str">
        <f>HYPERLINK("https://eping.wto.org/en/Search?viewData= G/TBT/N/TZA/1515"," G/TBT/N/TZA/1515")</f>
        <v xml:space="preserve"> G/TBT/N/TZA/1515</v>
      </c>
      <c r="D226" s="8" t="s">
        <v>1175</v>
      </c>
      <c r="E226" s="8" t="s">
        <v>1176</v>
      </c>
      <c r="F226" s="8" t="s">
        <v>1177</v>
      </c>
      <c r="G226" s="8" t="s">
        <v>1178</v>
      </c>
      <c r="H226" s="8" t="s">
        <v>453</v>
      </c>
      <c r="I226" s="8" t="s">
        <v>684</v>
      </c>
      <c r="J226" s="8" t="s">
        <v>43</v>
      </c>
      <c r="K226" s="8" t="s">
        <v>240</v>
      </c>
      <c r="L226" s="6"/>
      <c r="M226" s="7">
        <v>46147</v>
      </c>
      <c r="N226" s="7" t="s">
        <v>79</v>
      </c>
      <c r="O226" s="7" t="s">
        <v>79</v>
      </c>
      <c r="P226" s="6" t="s">
        <v>62</v>
      </c>
      <c r="Q226" s="8" t="s">
        <v>1179</v>
      </c>
      <c r="R226" t="str">
        <f>HYPERLINK("https://docs.wto.org/imrd/directdoc.asp?DDFDocuments/t/G/TBTN26/TZA1515.docx", "https://docs.wto.org/imrd/directdoc.asp?DDFDocuments/t/G/TBTN26/TZA1515.docx")</f>
        <v>https://docs.wto.org/imrd/directdoc.asp?DDFDocuments/t/G/TBTN26/TZA1515.docx</v>
      </c>
      <c r="S226" t="str">
        <f>HYPERLINK("https://docs.wto.org/imrd/directdoc.asp?DDFDocuments/u/G/TBTN26/TZA1515.docx", "https://docs.wto.org/imrd/directdoc.asp?DDFDocuments/u/G/TBTN26/TZA1515.docx")</f>
        <v>https://docs.wto.org/imrd/directdoc.asp?DDFDocuments/u/G/TBTN26/TZA1515.docx</v>
      </c>
      <c r="T226" t="str">
        <f>HYPERLINK("https://docs.wto.org/imrd/directdoc.asp?DDFDocuments/v/G/TBTN26/TZA1515.docx", "https://docs.wto.org/imrd/directdoc.asp?DDFDocuments/v/G/TBTN26/TZA1515.docx")</f>
        <v>https://docs.wto.org/imrd/directdoc.asp?DDFDocuments/v/G/TBTN26/TZA1515.docx</v>
      </c>
      <c r="U226" t="s">
        <v>64</v>
      </c>
      <c r="V226" t="s">
        <v>46</v>
      </c>
      <c r="W226" t="s">
        <v>46</v>
      </c>
      <c r="X226" t="s">
        <v>46</v>
      </c>
      <c r="Y226" t="s">
        <v>46</v>
      </c>
      <c r="Z226" t="s">
        <v>46</v>
      </c>
      <c r="AA226" t="s">
        <v>46</v>
      </c>
      <c r="AB226" s="2" t="s">
        <v>1180</v>
      </c>
      <c r="AC226" t="s">
        <v>43</v>
      </c>
      <c r="AD226" t="s">
        <v>43</v>
      </c>
      <c r="AE226" t="s">
        <v>43</v>
      </c>
      <c r="AF226" t="s">
        <v>43</v>
      </c>
      <c r="AG226" t="s">
        <v>43</v>
      </c>
      <c r="AH226" s="2" t="s">
        <v>43</v>
      </c>
    </row>
    <row r="227" spans="1:34" ht="90">
      <c r="A227" s="6" t="s">
        <v>356</v>
      </c>
      <c r="B227" s="7">
        <v>46087</v>
      </c>
      <c r="C227" s="9" t="str">
        <f>HYPERLINK("https://eping.wto.org/en/Search?viewData= G/SPS/N/EU/929"," G/SPS/N/EU/929")</f>
        <v xml:space="preserve"> G/SPS/N/EU/929</v>
      </c>
      <c r="D227" s="8" t="s">
        <v>1181</v>
      </c>
      <c r="E227" s="8" t="s">
        <v>1182</v>
      </c>
      <c r="F227" s="8" t="s">
        <v>359</v>
      </c>
      <c r="G227" s="8" t="s">
        <v>156</v>
      </c>
      <c r="H227" s="8" t="s">
        <v>43</v>
      </c>
      <c r="I227" s="8" t="s">
        <v>361</v>
      </c>
      <c r="J227" s="8" t="s">
        <v>43</v>
      </c>
      <c r="K227" s="8" t="s">
        <v>1183</v>
      </c>
      <c r="L227" s="6"/>
      <c r="M227" s="7" t="s">
        <v>43</v>
      </c>
      <c r="N227" s="7">
        <v>46071</v>
      </c>
      <c r="O227" s="7" t="s">
        <v>1184</v>
      </c>
      <c r="P227" s="6" t="s">
        <v>62</v>
      </c>
      <c r="Q227" s="8" t="s">
        <v>1185</v>
      </c>
      <c r="R227" t="str">
        <f>HYPERLINK("https://docs.wto.org/imrd/directdoc.asp?DDFDocuments/t/G/SPS/NEU929.docx", "https://docs.wto.org/imrd/directdoc.asp?DDFDocuments/t/G/SPS/NEU929.docx")</f>
        <v>https://docs.wto.org/imrd/directdoc.asp?DDFDocuments/t/G/SPS/NEU929.docx</v>
      </c>
      <c r="S227" t="str">
        <f>HYPERLINK("https://docs.wto.org/imrd/directdoc.asp?DDFDocuments/u/G/SPS/NEU929.docx", "https://docs.wto.org/imrd/directdoc.asp?DDFDocuments/u/G/SPS/NEU929.docx")</f>
        <v>https://docs.wto.org/imrd/directdoc.asp?DDFDocuments/u/G/SPS/NEU929.docx</v>
      </c>
      <c r="T227" t="str">
        <f>HYPERLINK("https://docs.wto.org/imrd/directdoc.asp?DDFDocuments/v/G/SPS/NEU929.docx", "https://docs.wto.org/imrd/directdoc.asp?DDFDocuments/v/G/SPS/NEU929.docx")</f>
        <v>https://docs.wto.org/imrd/directdoc.asp?DDFDocuments/v/G/SPS/NEU929.docx</v>
      </c>
      <c r="U227" t="s">
        <v>43</v>
      </c>
      <c r="V227" t="s">
        <v>43</v>
      </c>
      <c r="W227" t="s">
        <v>43</v>
      </c>
      <c r="X227" t="s">
        <v>43</v>
      </c>
      <c r="Y227" t="s">
        <v>43</v>
      </c>
      <c r="Z227" t="s">
        <v>43</v>
      </c>
      <c r="AA227" t="s">
        <v>43</v>
      </c>
      <c r="AB227" s="2" t="s">
        <v>43</v>
      </c>
      <c r="AC227" t="s">
        <v>64</v>
      </c>
      <c r="AD227" t="s">
        <v>46</v>
      </c>
      <c r="AE227" t="s">
        <v>46</v>
      </c>
      <c r="AF227" t="s">
        <v>46</v>
      </c>
      <c r="AG227" t="s">
        <v>64</v>
      </c>
      <c r="AH227" s="2" t="s">
        <v>43</v>
      </c>
    </row>
    <row r="228" spans="1:34" ht="45">
      <c r="A228" s="6" t="s">
        <v>390</v>
      </c>
      <c r="B228" s="7">
        <v>46087</v>
      </c>
      <c r="C228" s="9" t="str">
        <f>HYPERLINK("https://eping.wto.org/en/Search?viewData= G/SPS/N/TZA/504"," G/SPS/N/TZA/504")</f>
        <v xml:space="preserve"> G/SPS/N/TZA/504</v>
      </c>
      <c r="D228" s="8" t="s">
        <v>1186</v>
      </c>
      <c r="E228" s="8" t="s">
        <v>1187</v>
      </c>
      <c r="F228" s="8" t="s">
        <v>1177</v>
      </c>
      <c r="G228" s="8" t="s">
        <v>1178</v>
      </c>
      <c r="H228" s="8" t="s">
        <v>453</v>
      </c>
      <c r="I228" s="8" t="s">
        <v>58</v>
      </c>
      <c r="J228" s="8" t="s">
        <v>43</v>
      </c>
      <c r="K228" s="8" t="s">
        <v>310</v>
      </c>
      <c r="L228" s="6" t="s">
        <v>43</v>
      </c>
      <c r="M228" s="7">
        <v>46147</v>
      </c>
      <c r="N228" s="7" t="s">
        <v>396</v>
      </c>
      <c r="O228" s="7" t="s">
        <v>304</v>
      </c>
      <c r="P228" s="6" t="s">
        <v>62</v>
      </c>
      <c r="Q228" s="8" t="s">
        <v>1188</v>
      </c>
      <c r="R228" t="str">
        <f>HYPERLINK("https://docs.wto.org/imrd/directdoc.asp?DDFDocuments/t/G/SPS/NTZA504.docx", "https://docs.wto.org/imrd/directdoc.asp?DDFDocuments/t/G/SPS/NTZA504.docx")</f>
        <v>https://docs.wto.org/imrd/directdoc.asp?DDFDocuments/t/G/SPS/NTZA504.docx</v>
      </c>
      <c r="S228" t="str">
        <f>HYPERLINK("https://docs.wto.org/imrd/directdoc.asp?DDFDocuments/u/G/SPS/NTZA504.docx", "https://docs.wto.org/imrd/directdoc.asp?DDFDocuments/u/G/SPS/NTZA504.docx")</f>
        <v>https://docs.wto.org/imrd/directdoc.asp?DDFDocuments/u/G/SPS/NTZA504.docx</v>
      </c>
      <c r="T228" t="str">
        <f>HYPERLINK("https://docs.wto.org/imrd/directdoc.asp?DDFDocuments/v/G/SPS/NTZA504.docx", "https://docs.wto.org/imrd/directdoc.asp?DDFDocuments/v/G/SPS/NTZA504.docx")</f>
        <v>https://docs.wto.org/imrd/directdoc.asp?DDFDocuments/v/G/SPS/NTZA504.docx</v>
      </c>
      <c r="U228" t="s">
        <v>43</v>
      </c>
      <c r="V228" t="s">
        <v>43</v>
      </c>
      <c r="W228" t="s">
        <v>43</v>
      </c>
      <c r="X228" t="s">
        <v>43</v>
      </c>
      <c r="Y228" t="s">
        <v>43</v>
      </c>
      <c r="Z228" t="s">
        <v>43</v>
      </c>
      <c r="AA228" t="s">
        <v>43</v>
      </c>
      <c r="AB228" s="2" t="s">
        <v>43</v>
      </c>
      <c r="AC228" t="s">
        <v>46</v>
      </c>
      <c r="AD228" t="s">
        <v>46</v>
      </c>
      <c r="AE228" t="s">
        <v>46</v>
      </c>
      <c r="AF228" t="s">
        <v>64</v>
      </c>
      <c r="AG228" t="s">
        <v>99</v>
      </c>
      <c r="AH228" s="2" t="s">
        <v>43</v>
      </c>
    </row>
    <row r="229" spans="1:34" ht="90">
      <c r="A229" s="6" t="s">
        <v>356</v>
      </c>
      <c r="B229" s="7">
        <v>46087</v>
      </c>
      <c r="C229" s="9" t="str">
        <f>HYPERLINK("https://eping.wto.org/en/Search?viewData= G/SPS/N/EU/927"," G/SPS/N/EU/927")</f>
        <v xml:space="preserve"> G/SPS/N/EU/927</v>
      </c>
      <c r="D229" s="8" t="s">
        <v>1189</v>
      </c>
      <c r="E229" s="8" t="s">
        <v>1190</v>
      </c>
      <c r="F229" s="8" t="s">
        <v>359</v>
      </c>
      <c r="G229" s="8" t="s">
        <v>156</v>
      </c>
      <c r="H229" s="8" t="s">
        <v>43</v>
      </c>
      <c r="I229" s="8" t="s">
        <v>361</v>
      </c>
      <c r="J229" s="8" t="s">
        <v>43</v>
      </c>
      <c r="K229" s="8" t="s">
        <v>1183</v>
      </c>
      <c r="L229" s="6"/>
      <c r="M229" s="7" t="s">
        <v>43</v>
      </c>
      <c r="N229" s="7">
        <v>46071</v>
      </c>
      <c r="O229" s="7" t="s">
        <v>1184</v>
      </c>
      <c r="P229" s="6" t="s">
        <v>62</v>
      </c>
      <c r="Q229" s="8" t="s">
        <v>1191</v>
      </c>
      <c r="R229" t="str">
        <f>HYPERLINK("https://docs.wto.org/imrd/directdoc.asp?DDFDocuments/t/G/SPS/NEU927.docx", "https://docs.wto.org/imrd/directdoc.asp?DDFDocuments/t/G/SPS/NEU927.docx")</f>
        <v>https://docs.wto.org/imrd/directdoc.asp?DDFDocuments/t/G/SPS/NEU927.docx</v>
      </c>
      <c r="S229" t="str">
        <f>HYPERLINK("https://docs.wto.org/imrd/directdoc.asp?DDFDocuments/u/G/SPS/NEU927.docx", "https://docs.wto.org/imrd/directdoc.asp?DDFDocuments/u/G/SPS/NEU927.docx")</f>
        <v>https://docs.wto.org/imrd/directdoc.asp?DDFDocuments/u/G/SPS/NEU927.docx</v>
      </c>
      <c r="T229" t="str">
        <f>HYPERLINK("https://docs.wto.org/imrd/directdoc.asp?DDFDocuments/v/G/SPS/NEU927.docx", "https://docs.wto.org/imrd/directdoc.asp?DDFDocuments/v/G/SPS/NEU927.docx")</f>
        <v>https://docs.wto.org/imrd/directdoc.asp?DDFDocuments/v/G/SPS/NEU927.docx</v>
      </c>
      <c r="U229" t="s">
        <v>43</v>
      </c>
      <c r="V229" t="s">
        <v>43</v>
      </c>
      <c r="W229" t="s">
        <v>43</v>
      </c>
      <c r="X229" t="s">
        <v>43</v>
      </c>
      <c r="Y229" t="s">
        <v>43</v>
      </c>
      <c r="Z229" t="s">
        <v>43</v>
      </c>
      <c r="AA229" t="s">
        <v>43</v>
      </c>
      <c r="AB229" s="2" t="s">
        <v>43</v>
      </c>
      <c r="AC229" t="s">
        <v>64</v>
      </c>
      <c r="AD229" t="s">
        <v>46</v>
      </c>
      <c r="AE229" t="s">
        <v>46</v>
      </c>
      <c r="AF229" t="s">
        <v>46</v>
      </c>
      <c r="AG229" t="s">
        <v>64</v>
      </c>
      <c r="AH229" s="2" t="s">
        <v>43</v>
      </c>
    </row>
    <row r="230" spans="1:34" ht="90">
      <c r="A230" s="6" t="s">
        <v>356</v>
      </c>
      <c r="B230" s="7">
        <v>46087</v>
      </c>
      <c r="C230" s="9" t="str">
        <f>HYPERLINK("https://eping.wto.org/en/Search?viewData= G/SPS/N/EU/928"," G/SPS/N/EU/928")</f>
        <v xml:space="preserve"> G/SPS/N/EU/928</v>
      </c>
      <c r="D230" s="8" t="s">
        <v>1192</v>
      </c>
      <c r="E230" s="8" t="s">
        <v>1193</v>
      </c>
      <c r="F230" s="8" t="s">
        <v>359</v>
      </c>
      <c r="G230" s="8" t="s">
        <v>156</v>
      </c>
      <c r="H230" s="8" t="s">
        <v>43</v>
      </c>
      <c r="I230" s="8" t="s">
        <v>361</v>
      </c>
      <c r="J230" s="8" t="s">
        <v>43</v>
      </c>
      <c r="K230" s="8" t="s">
        <v>1183</v>
      </c>
      <c r="L230" s="6"/>
      <c r="M230" s="7" t="s">
        <v>43</v>
      </c>
      <c r="N230" s="7">
        <v>46070</v>
      </c>
      <c r="O230" s="7" t="s">
        <v>1184</v>
      </c>
      <c r="P230" s="6" t="s">
        <v>62</v>
      </c>
      <c r="Q230" s="8" t="s">
        <v>1194</v>
      </c>
      <c r="R230" t="str">
        <f>HYPERLINK("https://docs.wto.org/imrd/directdoc.asp?DDFDocuments/t/G/SPS/NEU928.docx", "https://docs.wto.org/imrd/directdoc.asp?DDFDocuments/t/G/SPS/NEU928.docx")</f>
        <v>https://docs.wto.org/imrd/directdoc.asp?DDFDocuments/t/G/SPS/NEU928.docx</v>
      </c>
      <c r="S230" t="str">
        <f>HYPERLINK("https://docs.wto.org/imrd/directdoc.asp?DDFDocuments/u/G/SPS/NEU928.docx", "https://docs.wto.org/imrd/directdoc.asp?DDFDocuments/u/G/SPS/NEU928.docx")</f>
        <v>https://docs.wto.org/imrd/directdoc.asp?DDFDocuments/u/G/SPS/NEU928.docx</v>
      </c>
      <c r="T230" t="str">
        <f>HYPERLINK("https://docs.wto.org/imrd/directdoc.asp?DDFDocuments/v/G/SPS/NEU928.docx", "https://docs.wto.org/imrd/directdoc.asp?DDFDocuments/v/G/SPS/NEU928.docx")</f>
        <v>https://docs.wto.org/imrd/directdoc.asp?DDFDocuments/v/G/SPS/NEU928.docx</v>
      </c>
      <c r="U230" t="s">
        <v>43</v>
      </c>
      <c r="V230" t="s">
        <v>43</v>
      </c>
      <c r="W230" t="s">
        <v>43</v>
      </c>
      <c r="X230" t="s">
        <v>43</v>
      </c>
      <c r="Y230" t="s">
        <v>43</v>
      </c>
      <c r="Z230" t="s">
        <v>43</v>
      </c>
      <c r="AA230" t="s">
        <v>43</v>
      </c>
      <c r="AB230" s="2" t="s">
        <v>43</v>
      </c>
      <c r="AC230" t="s">
        <v>64</v>
      </c>
      <c r="AD230" t="s">
        <v>46</v>
      </c>
      <c r="AE230" t="s">
        <v>46</v>
      </c>
      <c r="AF230" t="s">
        <v>46</v>
      </c>
      <c r="AG230" t="s">
        <v>64</v>
      </c>
      <c r="AH230" s="2" t="s">
        <v>43</v>
      </c>
    </row>
    <row r="231" spans="1:34" ht="270">
      <c r="A231" s="6" t="s">
        <v>390</v>
      </c>
      <c r="B231" s="7">
        <v>46087</v>
      </c>
      <c r="C231" s="9" t="str">
        <f>HYPERLINK("https://eping.wto.org/en/Search?viewData= G/TBT/N/TZA/1511"," G/TBT/N/TZA/1511")</f>
        <v xml:space="preserve"> G/TBT/N/TZA/1511</v>
      </c>
      <c r="D231" s="8" t="s">
        <v>1195</v>
      </c>
      <c r="E231" s="8" t="s">
        <v>1196</v>
      </c>
      <c r="F231" s="8" t="s">
        <v>1197</v>
      </c>
      <c r="G231" s="8" t="s">
        <v>1198</v>
      </c>
      <c r="H231" s="8" t="s">
        <v>1172</v>
      </c>
      <c r="I231" s="8" t="s">
        <v>684</v>
      </c>
      <c r="J231" s="8" t="s">
        <v>43</v>
      </c>
      <c r="K231" s="8" t="s">
        <v>240</v>
      </c>
      <c r="L231" s="6"/>
      <c r="M231" s="7">
        <v>46147</v>
      </c>
      <c r="N231" s="7" t="s">
        <v>79</v>
      </c>
      <c r="O231" s="7" t="s">
        <v>79</v>
      </c>
      <c r="P231" s="6" t="s">
        <v>62</v>
      </c>
      <c r="Q231" s="8" t="s">
        <v>1199</v>
      </c>
      <c r="R231" t="str">
        <f>HYPERLINK("https://docs.wto.org/imrd/directdoc.asp?DDFDocuments/t/G/TBTN26/TZA1511.docx", "https://docs.wto.org/imrd/directdoc.asp?DDFDocuments/t/G/TBTN26/TZA1511.docx")</f>
        <v>https://docs.wto.org/imrd/directdoc.asp?DDFDocuments/t/G/TBTN26/TZA1511.docx</v>
      </c>
      <c r="S231" t="str">
        <f>HYPERLINK("https://docs.wto.org/imrd/directdoc.asp?DDFDocuments/u/G/TBTN26/TZA1511.docx", "https://docs.wto.org/imrd/directdoc.asp?DDFDocuments/u/G/TBTN26/TZA1511.docx")</f>
        <v>https://docs.wto.org/imrd/directdoc.asp?DDFDocuments/u/G/TBTN26/TZA1511.docx</v>
      </c>
      <c r="T231" t="str">
        <f>HYPERLINK("https://docs.wto.org/imrd/directdoc.asp?DDFDocuments/v/G/TBTN26/TZA1511.docx", "https://docs.wto.org/imrd/directdoc.asp?DDFDocuments/v/G/TBTN26/TZA1511.docx")</f>
        <v>https://docs.wto.org/imrd/directdoc.asp?DDFDocuments/v/G/TBTN26/TZA1511.docx</v>
      </c>
      <c r="U231" t="s">
        <v>64</v>
      </c>
      <c r="V231" t="s">
        <v>46</v>
      </c>
      <c r="W231" t="s">
        <v>46</v>
      </c>
      <c r="X231" t="s">
        <v>46</v>
      </c>
      <c r="Y231" t="s">
        <v>46</v>
      </c>
      <c r="Z231" t="s">
        <v>46</v>
      </c>
      <c r="AA231" t="s">
        <v>46</v>
      </c>
      <c r="AB231" s="2" t="s">
        <v>1200</v>
      </c>
      <c r="AC231" t="s">
        <v>43</v>
      </c>
      <c r="AD231" t="s">
        <v>43</v>
      </c>
      <c r="AE231" t="s">
        <v>43</v>
      </c>
      <c r="AF231" t="s">
        <v>43</v>
      </c>
      <c r="AG231" t="s">
        <v>43</v>
      </c>
      <c r="AH231" s="2" t="s">
        <v>43</v>
      </c>
    </row>
    <row r="232" spans="1:34" ht="30">
      <c r="A232" s="6" t="s">
        <v>289</v>
      </c>
      <c r="B232" s="7">
        <v>46087</v>
      </c>
      <c r="C232" s="9" t="str">
        <f>HYPERLINK("https://eping.wto.org/en/Search?viewData= G/SPS/N/BRA/2476"," G/SPS/N/BRA/2476")</f>
        <v xml:space="preserve"> G/SPS/N/BRA/2476</v>
      </c>
      <c r="D232" s="8" t="s">
        <v>1201</v>
      </c>
      <c r="E232" s="8" t="s">
        <v>1202</v>
      </c>
      <c r="F232" s="8" t="s">
        <v>1203</v>
      </c>
      <c r="G232" s="8" t="s">
        <v>1204</v>
      </c>
      <c r="H232" s="8" t="s">
        <v>43</v>
      </c>
      <c r="I232" s="8" t="s">
        <v>94</v>
      </c>
      <c r="J232" s="8" t="s">
        <v>43</v>
      </c>
      <c r="K232" s="8" t="s">
        <v>1205</v>
      </c>
      <c r="L232" s="6" t="s">
        <v>196</v>
      </c>
      <c r="M232" s="7">
        <v>46147</v>
      </c>
      <c r="N232" s="7" t="s">
        <v>304</v>
      </c>
      <c r="O232" s="7" t="s">
        <v>304</v>
      </c>
      <c r="P232" s="6" t="s">
        <v>62</v>
      </c>
      <c r="Q232" s="8" t="s">
        <v>1206</v>
      </c>
      <c r="R232" t="str">
        <f>HYPERLINK("https://docs.wto.org/imrd/directdoc.asp?DDFDocuments/t/G/SPS/NBRA2476.docx", "https://docs.wto.org/imrd/directdoc.asp?DDFDocuments/t/G/SPS/NBRA2476.docx")</f>
        <v>https://docs.wto.org/imrd/directdoc.asp?DDFDocuments/t/G/SPS/NBRA2476.docx</v>
      </c>
      <c r="S232" t="str">
        <f>HYPERLINK("https://docs.wto.org/imrd/directdoc.asp?DDFDocuments/u/G/SPS/NBRA2476.docx", "https://docs.wto.org/imrd/directdoc.asp?DDFDocuments/u/G/SPS/NBRA2476.docx")</f>
        <v>https://docs.wto.org/imrd/directdoc.asp?DDFDocuments/u/G/SPS/NBRA2476.docx</v>
      </c>
      <c r="T232" t="str">
        <f>HYPERLINK("https://docs.wto.org/imrd/directdoc.asp?DDFDocuments/v/G/SPS/NBRA2476.docx", "https://docs.wto.org/imrd/directdoc.asp?DDFDocuments/v/G/SPS/NBRA2476.docx")</f>
        <v>https://docs.wto.org/imrd/directdoc.asp?DDFDocuments/v/G/SPS/NBRA2476.docx</v>
      </c>
      <c r="U232" t="s">
        <v>43</v>
      </c>
      <c r="V232" t="s">
        <v>43</v>
      </c>
      <c r="W232" t="s">
        <v>43</v>
      </c>
      <c r="X232" t="s">
        <v>43</v>
      </c>
      <c r="Y232" t="s">
        <v>43</v>
      </c>
      <c r="Z232" t="s">
        <v>43</v>
      </c>
      <c r="AA232" t="s">
        <v>43</v>
      </c>
      <c r="AB232" s="2" t="s">
        <v>43</v>
      </c>
      <c r="AC232" t="s">
        <v>46</v>
      </c>
      <c r="AD232" t="s">
        <v>46</v>
      </c>
      <c r="AE232" t="s">
        <v>64</v>
      </c>
      <c r="AF232" t="s">
        <v>46</v>
      </c>
      <c r="AG232" t="s">
        <v>64</v>
      </c>
      <c r="AH232" s="2" t="s">
        <v>43</v>
      </c>
    </row>
    <row r="233" spans="1:34" ht="285">
      <c r="A233" s="6" t="s">
        <v>390</v>
      </c>
      <c r="B233" s="7">
        <v>46087</v>
      </c>
      <c r="C233" s="9" t="str">
        <f>HYPERLINK("https://eping.wto.org/en/Search?viewData= G/TBT/N/TZA/1516"," G/TBT/N/TZA/1516")</f>
        <v xml:space="preserve"> G/TBT/N/TZA/1516</v>
      </c>
      <c r="D233" s="8" t="s">
        <v>1207</v>
      </c>
      <c r="E233" s="8" t="s">
        <v>1208</v>
      </c>
      <c r="F233" s="8" t="s">
        <v>1209</v>
      </c>
      <c r="G233" s="8" t="s">
        <v>1210</v>
      </c>
      <c r="H233" s="8" t="s">
        <v>1172</v>
      </c>
      <c r="I233" s="8" t="s">
        <v>684</v>
      </c>
      <c r="J233" s="8" t="s">
        <v>43</v>
      </c>
      <c r="K233" s="8" t="s">
        <v>240</v>
      </c>
      <c r="L233" s="6"/>
      <c r="M233" s="7">
        <v>46147</v>
      </c>
      <c r="N233" s="7" t="s">
        <v>79</v>
      </c>
      <c r="O233" s="7" t="s">
        <v>79</v>
      </c>
      <c r="P233" s="6" t="s">
        <v>62</v>
      </c>
      <c r="Q233" s="8" t="s">
        <v>1211</v>
      </c>
      <c r="R233" t="str">
        <f>HYPERLINK("https://docs.wto.org/imrd/directdoc.asp?DDFDocuments/t/G/TBTN26/TZA1516.docx", "https://docs.wto.org/imrd/directdoc.asp?DDFDocuments/t/G/TBTN26/TZA1516.docx")</f>
        <v>https://docs.wto.org/imrd/directdoc.asp?DDFDocuments/t/G/TBTN26/TZA1516.docx</v>
      </c>
      <c r="S233" t="str">
        <f>HYPERLINK("https://docs.wto.org/imrd/directdoc.asp?DDFDocuments/u/G/TBTN26/TZA1516.docx", "https://docs.wto.org/imrd/directdoc.asp?DDFDocuments/u/G/TBTN26/TZA1516.docx")</f>
        <v>https://docs.wto.org/imrd/directdoc.asp?DDFDocuments/u/G/TBTN26/TZA1516.docx</v>
      </c>
      <c r="T233" t="str">
        <f>HYPERLINK("https://docs.wto.org/imrd/directdoc.asp?DDFDocuments/v/G/TBTN26/TZA1516.docx", "https://docs.wto.org/imrd/directdoc.asp?DDFDocuments/v/G/TBTN26/TZA1516.docx")</f>
        <v>https://docs.wto.org/imrd/directdoc.asp?DDFDocuments/v/G/TBTN26/TZA1516.docx</v>
      </c>
      <c r="U233" t="s">
        <v>64</v>
      </c>
      <c r="V233" t="s">
        <v>46</v>
      </c>
      <c r="W233" t="s">
        <v>46</v>
      </c>
      <c r="X233" t="s">
        <v>46</v>
      </c>
      <c r="Y233" t="s">
        <v>46</v>
      </c>
      <c r="Z233" t="s">
        <v>46</v>
      </c>
      <c r="AA233" t="s">
        <v>46</v>
      </c>
      <c r="AB233" s="2" t="s">
        <v>1212</v>
      </c>
      <c r="AC233" t="s">
        <v>43</v>
      </c>
      <c r="AD233" t="s">
        <v>43</v>
      </c>
      <c r="AE233" t="s">
        <v>43</v>
      </c>
      <c r="AF233" t="s">
        <v>43</v>
      </c>
      <c r="AG233" t="s">
        <v>43</v>
      </c>
      <c r="AH233" s="2" t="s">
        <v>43</v>
      </c>
    </row>
    <row r="234" spans="1:34" ht="60">
      <c r="A234" s="6" t="s">
        <v>132</v>
      </c>
      <c r="B234" s="7">
        <v>46087</v>
      </c>
      <c r="C234" s="9" t="str">
        <f>HYPERLINK("https://eping.wto.org/en/Search?viewData= G/SPS/N/USA/3561"," G/SPS/N/USA/3561")</f>
        <v xml:space="preserve"> G/SPS/N/USA/3561</v>
      </c>
      <c r="D234" s="8" t="s">
        <v>1213</v>
      </c>
      <c r="E234" s="8" t="s">
        <v>1214</v>
      </c>
      <c r="F234" s="8" t="s">
        <v>1215</v>
      </c>
      <c r="G234" s="8" t="s">
        <v>156</v>
      </c>
      <c r="H234" s="8" t="s">
        <v>953</v>
      </c>
      <c r="I234" s="8" t="s">
        <v>361</v>
      </c>
      <c r="J234" s="8" t="s">
        <v>43</v>
      </c>
      <c r="K234" s="8" t="s">
        <v>1183</v>
      </c>
      <c r="L234" s="6" t="s">
        <v>43</v>
      </c>
      <c r="M234" s="7">
        <v>46115</v>
      </c>
      <c r="N234" s="7" t="s">
        <v>99</v>
      </c>
      <c r="O234" s="7" t="s">
        <v>99</v>
      </c>
      <c r="P234" s="6" t="s">
        <v>62</v>
      </c>
      <c r="Q234" s="8" t="s">
        <v>1216</v>
      </c>
      <c r="R234" t="str">
        <f>HYPERLINK("https://docs.wto.org/imrd/directdoc.asp?DDFDocuments/t/G/SPS/NUSA3561.docx", "https://docs.wto.org/imrd/directdoc.asp?DDFDocuments/t/G/SPS/NUSA3561.docx")</f>
        <v>https://docs.wto.org/imrd/directdoc.asp?DDFDocuments/t/G/SPS/NUSA3561.docx</v>
      </c>
      <c r="S234" t="str">
        <f>HYPERLINK("https://docs.wto.org/imrd/directdoc.asp?DDFDocuments/u/G/SPS/NUSA3561.docx", "https://docs.wto.org/imrd/directdoc.asp?DDFDocuments/u/G/SPS/NUSA3561.docx")</f>
        <v>https://docs.wto.org/imrd/directdoc.asp?DDFDocuments/u/G/SPS/NUSA3561.docx</v>
      </c>
      <c r="T234" t="str">
        <f>HYPERLINK("https://docs.wto.org/imrd/directdoc.asp?DDFDocuments/v/G/SPS/NUSA3561.docx", "https://docs.wto.org/imrd/directdoc.asp?DDFDocuments/v/G/SPS/NUSA3561.docx")</f>
        <v>https://docs.wto.org/imrd/directdoc.asp?DDFDocuments/v/G/SPS/NUSA3561.docx</v>
      </c>
      <c r="U234" t="s">
        <v>43</v>
      </c>
      <c r="V234" t="s">
        <v>43</v>
      </c>
      <c r="W234" t="s">
        <v>43</v>
      </c>
      <c r="X234" t="s">
        <v>43</v>
      </c>
      <c r="Y234" t="s">
        <v>43</v>
      </c>
      <c r="Z234" t="s">
        <v>43</v>
      </c>
      <c r="AA234" t="s">
        <v>43</v>
      </c>
      <c r="AB234" s="2" t="s">
        <v>43</v>
      </c>
      <c r="AC234" t="s">
        <v>46</v>
      </c>
      <c r="AD234" t="s">
        <v>46</v>
      </c>
      <c r="AE234" t="s">
        <v>46</v>
      </c>
      <c r="AF234" t="s">
        <v>64</v>
      </c>
      <c r="AG234" t="s">
        <v>99</v>
      </c>
      <c r="AH234" s="2" t="s">
        <v>43</v>
      </c>
    </row>
    <row r="235" spans="1:34" ht="225">
      <c r="A235" s="6" t="s">
        <v>390</v>
      </c>
      <c r="B235" s="7">
        <v>46087</v>
      </c>
      <c r="C235" s="9" t="str">
        <f>HYPERLINK("https://eping.wto.org/en/Search?viewData= G/TBT/N/TZA/1510"," G/TBT/N/TZA/1510")</f>
        <v xml:space="preserve"> G/TBT/N/TZA/1510</v>
      </c>
      <c r="D235" s="8" t="s">
        <v>1217</v>
      </c>
      <c r="E235" s="8" t="s">
        <v>1218</v>
      </c>
      <c r="F235" s="8" t="s">
        <v>1219</v>
      </c>
      <c r="G235" s="8" t="s">
        <v>1220</v>
      </c>
      <c r="H235" s="8" t="s">
        <v>1172</v>
      </c>
      <c r="I235" s="8" t="s">
        <v>684</v>
      </c>
      <c r="J235" s="8" t="s">
        <v>43</v>
      </c>
      <c r="K235" s="8" t="s">
        <v>240</v>
      </c>
      <c r="L235" s="6"/>
      <c r="M235" s="7">
        <v>46147</v>
      </c>
      <c r="N235" s="7" t="s">
        <v>79</v>
      </c>
      <c r="O235" s="7" t="s">
        <v>79</v>
      </c>
      <c r="P235" s="6" t="s">
        <v>62</v>
      </c>
      <c r="Q235" s="8" t="s">
        <v>1221</v>
      </c>
      <c r="R235" t="str">
        <f>HYPERLINK("https://docs.wto.org/imrd/directdoc.asp?DDFDocuments/t/G/TBTN26/TZA1510.docx", "https://docs.wto.org/imrd/directdoc.asp?DDFDocuments/t/G/TBTN26/TZA1510.docx")</f>
        <v>https://docs.wto.org/imrd/directdoc.asp?DDFDocuments/t/G/TBTN26/TZA1510.docx</v>
      </c>
      <c r="S235" t="str">
        <f>HYPERLINK("https://docs.wto.org/imrd/directdoc.asp?DDFDocuments/u/G/TBTN26/TZA1510.docx", "https://docs.wto.org/imrd/directdoc.asp?DDFDocuments/u/G/TBTN26/TZA1510.docx")</f>
        <v>https://docs.wto.org/imrd/directdoc.asp?DDFDocuments/u/G/TBTN26/TZA1510.docx</v>
      </c>
      <c r="T235" t="str">
        <f>HYPERLINK("https://docs.wto.org/imrd/directdoc.asp?DDFDocuments/v/G/TBTN26/TZA1510.docx", "https://docs.wto.org/imrd/directdoc.asp?DDFDocuments/v/G/TBTN26/TZA1510.docx")</f>
        <v>https://docs.wto.org/imrd/directdoc.asp?DDFDocuments/v/G/TBTN26/TZA1510.docx</v>
      </c>
      <c r="U235" t="s">
        <v>64</v>
      </c>
      <c r="V235" t="s">
        <v>46</v>
      </c>
      <c r="W235" t="s">
        <v>46</v>
      </c>
      <c r="X235" t="s">
        <v>46</v>
      </c>
      <c r="Y235" t="s">
        <v>46</v>
      </c>
      <c r="Z235" t="s">
        <v>46</v>
      </c>
      <c r="AA235" t="s">
        <v>46</v>
      </c>
      <c r="AB235" s="2" t="s">
        <v>1222</v>
      </c>
      <c r="AC235" t="s">
        <v>43</v>
      </c>
      <c r="AD235" t="s">
        <v>43</v>
      </c>
      <c r="AE235" t="s">
        <v>43</v>
      </c>
      <c r="AF235" t="s">
        <v>43</v>
      </c>
      <c r="AG235" t="s">
        <v>43</v>
      </c>
      <c r="AH235" s="2" t="s">
        <v>43</v>
      </c>
    </row>
    <row r="236" spans="1:34" ht="165">
      <c r="A236" s="6" t="s">
        <v>390</v>
      </c>
      <c r="B236" s="7">
        <v>46087</v>
      </c>
      <c r="C236" s="9" t="str">
        <f>HYPERLINK("https://eping.wto.org/en/Search?viewData= G/TBT/N/TZA/1520"," G/TBT/N/TZA/1520")</f>
        <v xml:space="preserve"> G/TBT/N/TZA/1520</v>
      </c>
      <c r="D236" s="8" t="s">
        <v>1223</v>
      </c>
      <c r="E236" s="8" t="s">
        <v>1224</v>
      </c>
      <c r="F236" s="8" t="s">
        <v>1225</v>
      </c>
      <c r="G236" s="8" t="s">
        <v>1226</v>
      </c>
      <c r="H236" s="8" t="s">
        <v>1227</v>
      </c>
      <c r="I236" s="8" t="s">
        <v>739</v>
      </c>
      <c r="J236" s="8" t="s">
        <v>43</v>
      </c>
      <c r="K236" s="8" t="s">
        <v>43</v>
      </c>
      <c r="L236" s="6"/>
      <c r="M236" s="7">
        <v>46147</v>
      </c>
      <c r="N236" s="7" t="s">
        <v>740</v>
      </c>
      <c r="O236" s="7" t="s">
        <v>79</v>
      </c>
      <c r="P236" s="6" t="s">
        <v>62</v>
      </c>
      <c r="Q236" s="8" t="s">
        <v>1228</v>
      </c>
      <c r="R236" t="str">
        <f>HYPERLINK("https://docs.wto.org/imrd/directdoc.asp?DDFDocuments/t/G/TBTN26/TZA1520.docx", "https://docs.wto.org/imrd/directdoc.asp?DDFDocuments/t/G/TBTN26/TZA1520.docx")</f>
        <v>https://docs.wto.org/imrd/directdoc.asp?DDFDocuments/t/G/TBTN26/TZA1520.docx</v>
      </c>
      <c r="S236" t="str">
        <f>HYPERLINK("https://docs.wto.org/imrd/directdoc.asp?DDFDocuments/u/G/TBTN26/TZA1520.docx", "https://docs.wto.org/imrd/directdoc.asp?DDFDocuments/u/G/TBTN26/TZA1520.docx")</f>
        <v>https://docs.wto.org/imrd/directdoc.asp?DDFDocuments/u/G/TBTN26/TZA1520.docx</v>
      </c>
      <c r="T236" t="str">
        <f>HYPERLINK("https://docs.wto.org/imrd/directdoc.asp?DDFDocuments/v/G/TBTN26/TZA1520.docx", "https://docs.wto.org/imrd/directdoc.asp?DDFDocuments/v/G/TBTN26/TZA1520.docx")</f>
        <v>https://docs.wto.org/imrd/directdoc.asp?DDFDocuments/v/G/TBTN26/TZA1520.docx</v>
      </c>
      <c r="U236" t="s">
        <v>64</v>
      </c>
      <c r="V236" t="s">
        <v>46</v>
      </c>
      <c r="W236" t="s">
        <v>46</v>
      </c>
      <c r="X236" t="s">
        <v>46</v>
      </c>
      <c r="Y236" t="s">
        <v>46</v>
      </c>
      <c r="Z236" t="s">
        <v>46</v>
      </c>
      <c r="AA236" t="s">
        <v>46</v>
      </c>
      <c r="AB236" s="2" t="s">
        <v>1229</v>
      </c>
      <c r="AC236" t="s">
        <v>43</v>
      </c>
      <c r="AD236" t="s">
        <v>43</v>
      </c>
      <c r="AE236" t="s">
        <v>43</v>
      </c>
      <c r="AF236" t="s">
        <v>43</v>
      </c>
      <c r="AG236" t="s">
        <v>43</v>
      </c>
      <c r="AH236" s="2" t="s">
        <v>43</v>
      </c>
    </row>
    <row r="237" spans="1:34" ht="60">
      <c r="A237" s="6" t="s">
        <v>390</v>
      </c>
      <c r="B237" s="7">
        <v>46087</v>
      </c>
      <c r="C237" s="9" t="str">
        <f>HYPERLINK("https://eping.wto.org/en/Search?viewData= G/SPS/N/TZA/503"," G/SPS/N/TZA/503")</f>
        <v xml:space="preserve"> G/SPS/N/TZA/503</v>
      </c>
      <c r="D237" s="8" t="s">
        <v>1230</v>
      </c>
      <c r="E237" s="8" t="s">
        <v>1231</v>
      </c>
      <c r="F237" s="8" t="s">
        <v>1232</v>
      </c>
      <c r="G237" s="8" t="s">
        <v>1233</v>
      </c>
      <c r="H237" s="8" t="s">
        <v>1172</v>
      </c>
      <c r="I237" s="8" t="s">
        <v>58</v>
      </c>
      <c r="J237" s="8" t="s">
        <v>43</v>
      </c>
      <c r="K237" s="8" t="s">
        <v>157</v>
      </c>
      <c r="L237" s="6" t="s">
        <v>43</v>
      </c>
      <c r="M237" s="7">
        <v>46147</v>
      </c>
      <c r="N237" s="7" t="s">
        <v>396</v>
      </c>
      <c r="O237" s="7" t="s">
        <v>304</v>
      </c>
      <c r="P237" s="6" t="s">
        <v>62</v>
      </c>
      <c r="Q237" s="8" t="s">
        <v>1234</v>
      </c>
      <c r="R237" t="str">
        <f>HYPERLINK("https://docs.wto.org/imrd/directdoc.asp?DDFDocuments/t/G/SPS/NTZA503.docx", "https://docs.wto.org/imrd/directdoc.asp?DDFDocuments/t/G/SPS/NTZA503.docx")</f>
        <v>https://docs.wto.org/imrd/directdoc.asp?DDFDocuments/t/G/SPS/NTZA503.docx</v>
      </c>
      <c r="S237" t="str">
        <f>HYPERLINK("https://docs.wto.org/imrd/directdoc.asp?DDFDocuments/u/G/SPS/NTZA503.docx", "https://docs.wto.org/imrd/directdoc.asp?DDFDocuments/u/G/SPS/NTZA503.docx")</f>
        <v>https://docs.wto.org/imrd/directdoc.asp?DDFDocuments/u/G/SPS/NTZA503.docx</v>
      </c>
      <c r="T237" t="str">
        <f>HYPERLINK("https://docs.wto.org/imrd/directdoc.asp?DDFDocuments/v/G/SPS/NTZA503.docx", "https://docs.wto.org/imrd/directdoc.asp?DDFDocuments/v/G/SPS/NTZA503.docx")</f>
        <v>https://docs.wto.org/imrd/directdoc.asp?DDFDocuments/v/G/SPS/NTZA503.docx</v>
      </c>
      <c r="U237" t="s">
        <v>43</v>
      </c>
      <c r="V237" t="s">
        <v>43</v>
      </c>
      <c r="W237" t="s">
        <v>43</v>
      </c>
      <c r="X237" t="s">
        <v>43</v>
      </c>
      <c r="Y237" t="s">
        <v>43</v>
      </c>
      <c r="Z237" t="s">
        <v>43</v>
      </c>
      <c r="AA237" t="s">
        <v>43</v>
      </c>
      <c r="AB237" s="2" t="s">
        <v>43</v>
      </c>
      <c r="AC237" t="s">
        <v>46</v>
      </c>
      <c r="AD237" t="s">
        <v>46</v>
      </c>
      <c r="AE237" t="s">
        <v>46</v>
      </c>
      <c r="AF237" t="s">
        <v>64</v>
      </c>
      <c r="AG237" t="s">
        <v>99</v>
      </c>
      <c r="AH237" s="2" t="s">
        <v>43</v>
      </c>
    </row>
    <row r="238" spans="1:34" ht="60">
      <c r="A238" s="6" t="s">
        <v>132</v>
      </c>
      <c r="B238" s="7">
        <v>46087</v>
      </c>
      <c r="C238" s="9" t="str">
        <f>HYPERLINK("https://eping.wto.org/en/Search?viewData= G/SPS/N/USA/3562"," G/SPS/N/USA/3562")</f>
        <v xml:space="preserve"> G/SPS/N/USA/3562</v>
      </c>
      <c r="D238" s="8" t="s">
        <v>1235</v>
      </c>
      <c r="E238" s="8" t="s">
        <v>1236</v>
      </c>
      <c r="F238" s="8" t="s">
        <v>1215</v>
      </c>
      <c r="G238" s="8" t="s">
        <v>156</v>
      </c>
      <c r="H238" s="8" t="s">
        <v>953</v>
      </c>
      <c r="I238" s="8" t="s">
        <v>361</v>
      </c>
      <c r="J238" s="8" t="s">
        <v>43</v>
      </c>
      <c r="K238" s="8" t="s">
        <v>1183</v>
      </c>
      <c r="L238" s="6" t="s">
        <v>43</v>
      </c>
      <c r="M238" s="7" t="s">
        <v>43</v>
      </c>
      <c r="N238" s="7" t="s">
        <v>99</v>
      </c>
      <c r="O238" s="7" t="s">
        <v>99</v>
      </c>
      <c r="P238" s="6" t="s">
        <v>62</v>
      </c>
      <c r="Q238" s="8" t="s">
        <v>1237</v>
      </c>
      <c r="R238" t="str">
        <f>HYPERLINK("https://docs.wto.org/imrd/directdoc.asp?DDFDocuments/t/G/SPS/NUSA3562.docx", "https://docs.wto.org/imrd/directdoc.asp?DDFDocuments/t/G/SPS/NUSA3562.docx")</f>
        <v>https://docs.wto.org/imrd/directdoc.asp?DDFDocuments/t/G/SPS/NUSA3562.docx</v>
      </c>
      <c r="S238" t="str">
        <f>HYPERLINK("https://docs.wto.org/imrd/directdoc.asp?DDFDocuments/u/G/SPS/NUSA3562.docx", "https://docs.wto.org/imrd/directdoc.asp?DDFDocuments/u/G/SPS/NUSA3562.docx")</f>
        <v>https://docs.wto.org/imrd/directdoc.asp?DDFDocuments/u/G/SPS/NUSA3562.docx</v>
      </c>
      <c r="T238" t="str">
        <f>HYPERLINK("https://docs.wto.org/imrd/directdoc.asp?DDFDocuments/v/G/SPS/NUSA3562.docx", "https://docs.wto.org/imrd/directdoc.asp?DDFDocuments/v/G/SPS/NUSA3562.docx")</f>
        <v>https://docs.wto.org/imrd/directdoc.asp?DDFDocuments/v/G/SPS/NUSA3562.docx</v>
      </c>
      <c r="U238" t="s">
        <v>43</v>
      </c>
      <c r="V238" t="s">
        <v>43</v>
      </c>
      <c r="W238" t="s">
        <v>43</v>
      </c>
      <c r="X238" t="s">
        <v>43</v>
      </c>
      <c r="Y238" t="s">
        <v>43</v>
      </c>
      <c r="Z238" t="s">
        <v>43</v>
      </c>
      <c r="AA238" t="s">
        <v>43</v>
      </c>
      <c r="AB238" s="2" t="s">
        <v>43</v>
      </c>
      <c r="AC238" t="s">
        <v>46</v>
      </c>
      <c r="AD238" t="s">
        <v>46</v>
      </c>
      <c r="AE238" t="s">
        <v>46</v>
      </c>
      <c r="AF238" t="s">
        <v>64</v>
      </c>
      <c r="AG238" t="s">
        <v>99</v>
      </c>
      <c r="AH238" s="2" t="s">
        <v>43</v>
      </c>
    </row>
    <row r="239" spans="1:34" ht="45">
      <c r="A239" s="6" t="s">
        <v>390</v>
      </c>
      <c r="B239" s="7">
        <v>46087</v>
      </c>
      <c r="C239" s="9" t="str">
        <f>HYPERLINK("https://eping.wto.org/en/Search?viewData= G/SPS/N/TZA/499"," G/SPS/N/TZA/499")</f>
        <v xml:space="preserve"> G/SPS/N/TZA/499</v>
      </c>
      <c r="D239" s="8" t="s">
        <v>1238</v>
      </c>
      <c r="E239" s="8" t="s">
        <v>1239</v>
      </c>
      <c r="F239" s="8" t="s">
        <v>1219</v>
      </c>
      <c r="G239" s="8" t="s">
        <v>1220</v>
      </c>
      <c r="H239" s="8" t="s">
        <v>1172</v>
      </c>
      <c r="I239" s="8" t="s">
        <v>58</v>
      </c>
      <c r="J239" s="8" t="s">
        <v>43</v>
      </c>
      <c r="K239" s="8" t="s">
        <v>310</v>
      </c>
      <c r="L239" s="6" t="s">
        <v>43</v>
      </c>
      <c r="M239" s="7">
        <v>46147</v>
      </c>
      <c r="N239" s="7" t="s">
        <v>396</v>
      </c>
      <c r="O239" s="7" t="s">
        <v>304</v>
      </c>
      <c r="P239" s="6" t="s">
        <v>62</v>
      </c>
      <c r="Q239" s="8" t="s">
        <v>1240</v>
      </c>
      <c r="R239" t="str">
        <f>HYPERLINK("https://docs.wto.org/imrd/directdoc.asp?DDFDocuments/t/G/SPS/NTZA499.docx", "https://docs.wto.org/imrd/directdoc.asp?DDFDocuments/t/G/SPS/NTZA499.docx")</f>
        <v>https://docs.wto.org/imrd/directdoc.asp?DDFDocuments/t/G/SPS/NTZA499.docx</v>
      </c>
      <c r="S239" t="str">
        <f>HYPERLINK("https://docs.wto.org/imrd/directdoc.asp?DDFDocuments/u/G/SPS/NTZA499.docx", "https://docs.wto.org/imrd/directdoc.asp?DDFDocuments/u/G/SPS/NTZA499.docx")</f>
        <v>https://docs.wto.org/imrd/directdoc.asp?DDFDocuments/u/G/SPS/NTZA499.docx</v>
      </c>
      <c r="T239" t="str">
        <f>HYPERLINK("https://docs.wto.org/imrd/directdoc.asp?DDFDocuments/v/G/SPS/NTZA499.docx", "https://docs.wto.org/imrd/directdoc.asp?DDFDocuments/v/G/SPS/NTZA499.docx")</f>
        <v>https://docs.wto.org/imrd/directdoc.asp?DDFDocuments/v/G/SPS/NTZA499.docx</v>
      </c>
      <c r="U239" t="s">
        <v>43</v>
      </c>
      <c r="V239" t="s">
        <v>43</v>
      </c>
      <c r="W239" t="s">
        <v>43</v>
      </c>
      <c r="X239" t="s">
        <v>43</v>
      </c>
      <c r="Y239" t="s">
        <v>43</v>
      </c>
      <c r="Z239" t="s">
        <v>43</v>
      </c>
      <c r="AA239" t="s">
        <v>43</v>
      </c>
      <c r="AB239" s="2" t="s">
        <v>43</v>
      </c>
      <c r="AC239" t="s">
        <v>46</v>
      </c>
      <c r="AD239" t="s">
        <v>46</v>
      </c>
      <c r="AE239" t="s">
        <v>46</v>
      </c>
      <c r="AF239" t="s">
        <v>64</v>
      </c>
      <c r="AG239" t="s">
        <v>99</v>
      </c>
      <c r="AH239" s="2" t="s">
        <v>43</v>
      </c>
    </row>
    <row r="240" spans="1:34" ht="120">
      <c r="A240" s="6" t="s">
        <v>303</v>
      </c>
      <c r="B240" s="7">
        <v>46087</v>
      </c>
      <c r="C240" s="9" t="str">
        <f>HYPERLINK("https://eping.wto.org/en/Search?viewData= G/TBT/N/KOR/1345"," G/TBT/N/KOR/1345")</f>
        <v xml:space="preserve"> G/TBT/N/KOR/1345</v>
      </c>
      <c r="D240" s="8" t="s">
        <v>1241</v>
      </c>
      <c r="E240" s="8" t="s">
        <v>1242</v>
      </c>
      <c r="F240" s="8" t="s">
        <v>1243</v>
      </c>
      <c r="G240" s="8" t="s">
        <v>1244</v>
      </c>
      <c r="H240" s="8" t="s">
        <v>1245</v>
      </c>
      <c r="I240" s="8" t="s">
        <v>1246</v>
      </c>
      <c r="J240" s="8" t="s">
        <v>1247</v>
      </c>
      <c r="K240" s="8" t="s">
        <v>240</v>
      </c>
      <c r="L240" s="6"/>
      <c r="M240" s="7">
        <v>46147</v>
      </c>
      <c r="N240" s="7">
        <v>46387</v>
      </c>
      <c r="O240" s="7" t="s">
        <v>79</v>
      </c>
      <c r="P240" s="6" t="s">
        <v>62</v>
      </c>
      <c r="Q240" s="8" t="s">
        <v>1248</v>
      </c>
      <c r="R240" t="str">
        <f>HYPERLINK("https://docs.wto.org/imrd/directdoc.asp?DDFDocuments/t/G/TBTN26/KOR1345.docx", "https://docs.wto.org/imrd/directdoc.asp?DDFDocuments/t/G/TBTN26/KOR1345.docx")</f>
        <v>https://docs.wto.org/imrd/directdoc.asp?DDFDocuments/t/G/TBTN26/KOR1345.docx</v>
      </c>
      <c r="S240" t="str">
        <f>HYPERLINK("https://docs.wto.org/imrd/directdoc.asp?DDFDocuments/u/G/TBTN26/KOR1345.docx", "https://docs.wto.org/imrd/directdoc.asp?DDFDocuments/u/G/TBTN26/KOR1345.docx")</f>
        <v>https://docs.wto.org/imrd/directdoc.asp?DDFDocuments/u/G/TBTN26/KOR1345.docx</v>
      </c>
      <c r="T240" t="str">
        <f>HYPERLINK("https://docs.wto.org/imrd/directdoc.asp?DDFDocuments/v/G/TBTN26/KOR1345.docx", "https://docs.wto.org/imrd/directdoc.asp?DDFDocuments/v/G/TBTN26/KOR1345.docx")</f>
        <v>https://docs.wto.org/imrd/directdoc.asp?DDFDocuments/v/G/TBTN26/KOR1345.docx</v>
      </c>
      <c r="U240" t="s">
        <v>64</v>
      </c>
      <c r="V240" t="s">
        <v>46</v>
      </c>
      <c r="W240" t="s">
        <v>46</v>
      </c>
      <c r="X240" t="s">
        <v>46</v>
      </c>
      <c r="Y240" t="s">
        <v>46</v>
      </c>
      <c r="Z240" t="s">
        <v>46</v>
      </c>
      <c r="AA240" t="s">
        <v>46</v>
      </c>
      <c r="AB240" s="2" t="s">
        <v>1249</v>
      </c>
      <c r="AC240" t="s">
        <v>43</v>
      </c>
      <c r="AD240" t="s">
        <v>43</v>
      </c>
      <c r="AE240" t="s">
        <v>43</v>
      </c>
      <c r="AF240" t="s">
        <v>43</v>
      </c>
      <c r="AG240" t="s">
        <v>43</v>
      </c>
      <c r="AH240" s="2" t="s">
        <v>43</v>
      </c>
    </row>
    <row r="241" spans="1:34" ht="165">
      <c r="A241" s="6" t="s">
        <v>390</v>
      </c>
      <c r="B241" s="7">
        <v>46087</v>
      </c>
      <c r="C241" s="9" t="str">
        <f>HYPERLINK("https://eping.wto.org/en/Search?viewData= G/TBT/N/TZA/1519"," G/TBT/N/TZA/1519")</f>
        <v xml:space="preserve"> G/TBT/N/TZA/1519</v>
      </c>
      <c r="D241" s="8" t="s">
        <v>1250</v>
      </c>
      <c r="E241" s="8" t="s">
        <v>1251</v>
      </c>
      <c r="F241" s="8" t="s">
        <v>1252</v>
      </c>
      <c r="G241" s="8" t="s">
        <v>1253</v>
      </c>
      <c r="H241" s="8" t="s">
        <v>1254</v>
      </c>
      <c r="I241" s="8" t="s">
        <v>739</v>
      </c>
      <c r="J241" s="8" t="s">
        <v>43</v>
      </c>
      <c r="K241" s="8" t="s">
        <v>43</v>
      </c>
      <c r="L241" s="6"/>
      <c r="M241" s="7">
        <v>46147</v>
      </c>
      <c r="N241" s="7" t="s">
        <v>740</v>
      </c>
      <c r="O241" s="7" t="s">
        <v>79</v>
      </c>
      <c r="P241" s="6" t="s">
        <v>62</v>
      </c>
      <c r="Q241" s="8" t="s">
        <v>1255</v>
      </c>
      <c r="R241" t="str">
        <f>HYPERLINK("https://docs.wto.org/imrd/directdoc.asp?DDFDocuments/t/G/TBTN26/TZA1519.docx", "https://docs.wto.org/imrd/directdoc.asp?DDFDocuments/t/G/TBTN26/TZA1519.docx")</f>
        <v>https://docs.wto.org/imrd/directdoc.asp?DDFDocuments/t/G/TBTN26/TZA1519.docx</v>
      </c>
      <c r="S241" t="str">
        <f>HYPERLINK("https://docs.wto.org/imrd/directdoc.asp?DDFDocuments/u/G/TBTN26/TZA1519.docx", "https://docs.wto.org/imrd/directdoc.asp?DDFDocuments/u/G/TBTN26/TZA1519.docx")</f>
        <v>https://docs.wto.org/imrd/directdoc.asp?DDFDocuments/u/G/TBTN26/TZA1519.docx</v>
      </c>
      <c r="T241" t="str">
        <f>HYPERLINK("https://docs.wto.org/imrd/directdoc.asp?DDFDocuments/v/G/TBTN26/TZA1519.docx", "https://docs.wto.org/imrd/directdoc.asp?DDFDocuments/v/G/TBTN26/TZA1519.docx")</f>
        <v>https://docs.wto.org/imrd/directdoc.asp?DDFDocuments/v/G/TBTN26/TZA1519.docx</v>
      </c>
      <c r="U241" t="s">
        <v>64</v>
      </c>
      <c r="V241" t="s">
        <v>46</v>
      </c>
      <c r="W241" t="s">
        <v>46</v>
      </c>
      <c r="X241" t="s">
        <v>46</v>
      </c>
      <c r="Y241" t="s">
        <v>46</v>
      </c>
      <c r="Z241" t="s">
        <v>46</v>
      </c>
      <c r="AA241" t="s">
        <v>46</v>
      </c>
      <c r="AB241" s="2" t="s">
        <v>1256</v>
      </c>
      <c r="AC241" t="s">
        <v>43</v>
      </c>
      <c r="AD241" t="s">
        <v>43</v>
      </c>
      <c r="AE241" t="s">
        <v>43</v>
      </c>
      <c r="AF241" t="s">
        <v>43</v>
      </c>
      <c r="AG241" t="s">
        <v>43</v>
      </c>
      <c r="AH241" s="2" t="s">
        <v>43</v>
      </c>
    </row>
    <row r="242" spans="1:34" ht="345">
      <c r="A242" s="6" t="s">
        <v>198</v>
      </c>
      <c r="B242" s="7">
        <v>46087</v>
      </c>
      <c r="C242" s="9" t="str">
        <f>HYPERLINK("https://eping.wto.org/en/Search?viewData= G/TBT/N/NZL/152"," G/TBT/N/NZL/152")</f>
        <v xml:space="preserve"> G/TBT/N/NZL/152</v>
      </c>
      <c r="D242" s="8" t="s">
        <v>1257</v>
      </c>
      <c r="E242" s="8" t="s">
        <v>1258</v>
      </c>
      <c r="F242" s="8" t="s">
        <v>1259</v>
      </c>
      <c r="G242" s="8" t="s">
        <v>43</v>
      </c>
      <c r="H242" s="8" t="s">
        <v>1260</v>
      </c>
      <c r="I242" s="8" t="s">
        <v>1261</v>
      </c>
      <c r="J242" s="8" t="s">
        <v>43</v>
      </c>
      <c r="K242" s="8" t="s">
        <v>43</v>
      </c>
      <c r="L242" s="6"/>
      <c r="M242" s="7" t="s">
        <v>43</v>
      </c>
      <c r="N242" s="7">
        <v>45962</v>
      </c>
      <c r="O242" s="7">
        <v>46327</v>
      </c>
      <c r="P242" s="6" t="s">
        <v>62</v>
      </c>
      <c r="Q242" s="8" t="s">
        <v>1262</v>
      </c>
      <c r="R242" t="str">
        <f>HYPERLINK("https://docs.wto.org/imrd/directdoc.asp?DDFDocuments/t/G/TBTN26/NZL152.docx", "https://docs.wto.org/imrd/directdoc.asp?DDFDocuments/t/G/TBTN26/NZL152.docx")</f>
        <v>https://docs.wto.org/imrd/directdoc.asp?DDFDocuments/t/G/TBTN26/NZL152.docx</v>
      </c>
      <c r="S242" t="str">
        <f>HYPERLINK("https://docs.wto.org/imrd/directdoc.asp?DDFDocuments/u/G/TBTN26/NZL152.docx", "https://docs.wto.org/imrd/directdoc.asp?DDFDocuments/u/G/TBTN26/NZL152.docx")</f>
        <v>https://docs.wto.org/imrd/directdoc.asp?DDFDocuments/u/G/TBTN26/NZL152.docx</v>
      </c>
      <c r="T242" t="str">
        <f>HYPERLINK("https://docs.wto.org/imrd/directdoc.asp?DDFDocuments/v/G/TBTN26/NZL152.docx", "https://docs.wto.org/imrd/directdoc.asp?DDFDocuments/v/G/TBTN26/NZL152.docx")</f>
        <v>https://docs.wto.org/imrd/directdoc.asp?DDFDocuments/v/G/TBTN26/NZL152.docx</v>
      </c>
      <c r="U242" t="s">
        <v>64</v>
      </c>
      <c r="V242" t="s">
        <v>46</v>
      </c>
      <c r="W242" t="s">
        <v>46</v>
      </c>
      <c r="X242" t="s">
        <v>46</v>
      </c>
      <c r="Y242" t="s">
        <v>46</v>
      </c>
      <c r="Z242" t="s">
        <v>46</v>
      </c>
      <c r="AA242" t="s">
        <v>46</v>
      </c>
      <c r="AB242" s="2" t="s">
        <v>1263</v>
      </c>
      <c r="AC242" t="s">
        <v>43</v>
      </c>
      <c r="AD242" t="s">
        <v>43</v>
      </c>
      <c r="AE242" t="s">
        <v>43</v>
      </c>
      <c r="AF242" t="s">
        <v>43</v>
      </c>
      <c r="AG242" t="s">
        <v>43</v>
      </c>
      <c r="AH242" s="2" t="s">
        <v>43</v>
      </c>
    </row>
    <row r="243" spans="1:34" ht="60">
      <c r="A243" s="6" t="s">
        <v>390</v>
      </c>
      <c r="B243" s="7">
        <v>46087</v>
      </c>
      <c r="C243" s="9" t="str">
        <f>HYPERLINK("https://eping.wto.org/en/Search?viewData= G/TBT/N/TZA/1518"," G/TBT/N/TZA/1518")</f>
        <v xml:space="preserve"> G/TBT/N/TZA/1518</v>
      </c>
      <c r="D243" s="8" t="s">
        <v>1264</v>
      </c>
      <c r="E243" s="8" t="s">
        <v>1265</v>
      </c>
      <c r="F243" s="8" t="s">
        <v>1266</v>
      </c>
      <c r="G243" s="8" t="s">
        <v>1267</v>
      </c>
      <c r="H243" s="8" t="s">
        <v>1268</v>
      </c>
      <c r="I243" s="8" t="s">
        <v>739</v>
      </c>
      <c r="J243" s="8" t="s">
        <v>43</v>
      </c>
      <c r="K243" s="8" t="s">
        <v>43</v>
      </c>
      <c r="L243" s="6"/>
      <c r="M243" s="7">
        <v>46147</v>
      </c>
      <c r="N243" s="7" t="s">
        <v>740</v>
      </c>
      <c r="O243" s="7" t="s">
        <v>79</v>
      </c>
      <c r="P243" s="6" t="s">
        <v>62</v>
      </c>
      <c r="Q243" s="8" t="s">
        <v>1269</v>
      </c>
      <c r="R243" t="str">
        <f>HYPERLINK("https://docs.wto.org/imrd/directdoc.asp?DDFDocuments/t/G/TBTN26/TZA1518.docx", "https://docs.wto.org/imrd/directdoc.asp?DDFDocuments/t/G/TBTN26/TZA1518.docx")</f>
        <v>https://docs.wto.org/imrd/directdoc.asp?DDFDocuments/t/G/TBTN26/TZA1518.docx</v>
      </c>
      <c r="S243" t="str">
        <f>HYPERLINK("https://docs.wto.org/imrd/directdoc.asp?DDFDocuments/u/G/TBTN26/TZA1518.docx", "https://docs.wto.org/imrd/directdoc.asp?DDFDocuments/u/G/TBTN26/TZA1518.docx")</f>
        <v>https://docs.wto.org/imrd/directdoc.asp?DDFDocuments/u/G/TBTN26/TZA1518.docx</v>
      </c>
      <c r="T243" t="str">
        <f>HYPERLINK("https://docs.wto.org/imrd/directdoc.asp?DDFDocuments/v/G/TBTN26/TZA1518.docx", "https://docs.wto.org/imrd/directdoc.asp?DDFDocuments/v/G/TBTN26/TZA1518.docx")</f>
        <v>https://docs.wto.org/imrd/directdoc.asp?DDFDocuments/v/G/TBTN26/TZA1518.docx</v>
      </c>
      <c r="U243" t="s">
        <v>64</v>
      </c>
      <c r="V243" t="s">
        <v>46</v>
      </c>
      <c r="W243" t="s">
        <v>46</v>
      </c>
      <c r="X243" t="s">
        <v>46</v>
      </c>
      <c r="Y243" t="s">
        <v>46</v>
      </c>
      <c r="Z243" t="s">
        <v>46</v>
      </c>
      <c r="AA243" t="s">
        <v>46</v>
      </c>
      <c r="AB243" s="2" t="s">
        <v>1270</v>
      </c>
      <c r="AC243" t="s">
        <v>43</v>
      </c>
      <c r="AD243" t="s">
        <v>43</v>
      </c>
      <c r="AE243" t="s">
        <v>43</v>
      </c>
      <c r="AF243" t="s">
        <v>43</v>
      </c>
      <c r="AG243" t="s">
        <v>43</v>
      </c>
      <c r="AH243" s="2" t="s">
        <v>43</v>
      </c>
    </row>
    <row r="244" spans="1:34" ht="75">
      <c r="A244" s="6" t="s">
        <v>390</v>
      </c>
      <c r="B244" s="7">
        <v>46087</v>
      </c>
      <c r="C244" s="9" t="str">
        <f>HYPERLINK("https://eping.wto.org/en/Search?viewData= G/SPS/N/TZA/498"," G/SPS/N/TZA/498")</f>
        <v xml:space="preserve"> G/SPS/N/TZA/498</v>
      </c>
      <c r="D244" s="8" t="s">
        <v>1271</v>
      </c>
      <c r="E244" s="8" t="s">
        <v>1272</v>
      </c>
      <c r="F244" s="8" t="s">
        <v>1273</v>
      </c>
      <c r="G244" s="8" t="s">
        <v>1274</v>
      </c>
      <c r="H244" s="8" t="s">
        <v>1172</v>
      </c>
      <c r="I244" s="8" t="s">
        <v>58</v>
      </c>
      <c r="J244" s="8" t="s">
        <v>43</v>
      </c>
      <c r="K244" s="8" t="s">
        <v>310</v>
      </c>
      <c r="L244" s="6" t="s">
        <v>43</v>
      </c>
      <c r="M244" s="7">
        <v>46147</v>
      </c>
      <c r="N244" s="7" t="s">
        <v>396</v>
      </c>
      <c r="O244" s="7" t="s">
        <v>304</v>
      </c>
      <c r="P244" s="6" t="s">
        <v>62</v>
      </c>
      <c r="Q244" s="8" t="s">
        <v>1275</v>
      </c>
      <c r="R244" t="str">
        <f>HYPERLINK("https://docs.wto.org/imrd/directdoc.asp?DDFDocuments/t/G/SPS/NTZA498.docx", "https://docs.wto.org/imrd/directdoc.asp?DDFDocuments/t/G/SPS/NTZA498.docx")</f>
        <v>https://docs.wto.org/imrd/directdoc.asp?DDFDocuments/t/G/SPS/NTZA498.docx</v>
      </c>
      <c r="S244" t="str">
        <f>HYPERLINK("https://docs.wto.org/imrd/directdoc.asp?DDFDocuments/u/G/SPS/NTZA498.docx", "https://docs.wto.org/imrd/directdoc.asp?DDFDocuments/u/G/SPS/NTZA498.docx")</f>
        <v>https://docs.wto.org/imrd/directdoc.asp?DDFDocuments/u/G/SPS/NTZA498.docx</v>
      </c>
      <c r="T244" t="str">
        <f>HYPERLINK("https://docs.wto.org/imrd/directdoc.asp?DDFDocuments/v/G/SPS/NTZA498.docx", "https://docs.wto.org/imrd/directdoc.asp?DDFDocuments/v/G/SPS/NTZA498.docx")</f>
        <v>https://docs.wto.org/imrd/directdoc.asp?DDFDocuments/v/G/SPS/NTZA498.docx</v>
      </c>
      <c r="U244" t="s">
        <v>43</v>
      </c>
      <c r="V244" t="s">
        <v>43</v>
      </c>
      <c r="W244" t="s">
        <v>43</v>
      </c>
      <c r="X244" t="s">
        <v>43</v>
      </c>
      <c r="Y244" t="s">
        <v>43</v>
      </c>
      <c r="Z244" t="s">
        <v>43</v>
      </c>
      <c r="AA244" t="s">
        <v>43</v>
      </c>
      <c r="AB244" s="2" t="s">
        <v>43</v>
      </c>
      <c r="AC244" t="s">
        <v>46</v>
      </c>
      <c r="AD244" t="s">
        <v>46</v>
      </c>
      <c r="AE244" t="s">
        <v>46</v>
      </c>
      <c r="AF244" t="s">
        <v>64</v>
      </c>
      <c r="AG244" t="s">
        <v>99</v>
      </c>
      <c r="AH244" s="2" t="s">
        <v>43</v>
      </c>
    </row>
    <row r="245" spans="1:34" ht="90">
      <c r="A245" s="6" t="s">
        <v>1276</v>
      </c>
      <c r="B245" s="7">
        <v>46087</v>
      </c>
      <c r="C245" s="9" t="str">
        <f>HYPERLINK("https://eping.wto.org/en/Search?viewData= G/SPS/N/ALB/216"," G/SPS/N/ALB/216")</f>
        <v xml:space="preserve"> G/SPS/N/ALB/216</v>
      </c>
      <c r="D245" s="8" t="s">
        <v>1277</v>
      </c>
      <c r="E245" s="8" t="s">
        <v>1278</v>
      </c>
      <c r="F245" s="8" t="s">
        <v>1279</v>
      </c>
      <c r="G245" s="8" t="s">
        <v>273</v>
      </c>
      <c r="H245" s="8" t="s">
        <v>43</v>
      </c>
      <c r="I245" s="8" t="s">
        <v>104</v>
      </c>
      <c r="J245" s="8" t="s">
        <v>43</v>
      </c>
      <c r="K245" s="8" t="s">
        <v>493</v>
      </c>
      <c r="L245" s="6" t="s">
        <v>43</v>
      </c>
      <c r="M245" s="7">
        <v>46147</v>
      </c>
      <c r="N245" s="7">
        <v>46162</v>
      </c>
      <c r="O245" s="7">
        <v>46324</v>
      </c>
      <c r="P245" s="6" t="s">
        <v>62</v>
      </c>
      <c r="Q245" s="8" t="s">
        <v>1280</v>
      </c>
      <c r="R245" t="str">
        <f>HYPERLINK("https://docs.wto.org/imrd/directdoc.asp?DDFDocuments/t/G/SPS/NALB216.docx", "https://docs.wto.org/imrd/directdoc.asp?DDFDocuments/t/G/SPS/NALB216.docx")</f>
        <v>https://docs.wto.org/imrd/directdoc.asp?DDFDocuments/t/G/SPS/NALB216.docx</v>
      </c>
      <c r="S245" t="str">
        <f>HYPERLINK("https://docs.wto.org/imrd/directdoc.asp?DDFDocuments/u/G/SPS/NALB216.docx", "https://docs.wto.org/imrd/directdoc.asp?DDFDocuments/u/G/SPS/NALB216.docx")</f>
        <v>https://docs.wto.org/imrd/directdoc.asp?DDFDocuments/u/G/SPS/NALB216.docx</v>
      </c>
      <c r="T245" t="str">
        <f>HYPERLINK("https://docs.wto.org/imrd/directdoc.asp?DDFDocuments/v/G/SPS/NALB216.docx", "https://docs.wto.org/imrd/directdoc.asp?DDFDocuments/v/G/SPS/NALB216.docx")</f>
        <v>https://docs.wto.org/imrd/directdoc.asp?DDFDocuments/v/G/SPS/NALB216.docx</v>
      </c>
      <c r="U245" t="s">
        <v>43</v>
      </c>
      <c r="V245" t="s">
        <v>43</v>
      </c>
      <c r="W245" t="s">
        <v>43</v>
      </c>
      <c r="X245" t="s">
        <v>43</v>
      </c>
      <c r="Y245" t="s">
        <v>43</v>
      </c>
      <c r="Z245" t="s">
        <v>43</v>
      </c>
      <c r="AA245" t="s">
        <v>43</v>
      </c>
      <c r="AB245" s="2" t="s">
        <v>43</v>
      </c>
      <c r="AC245" t="s">
        <v>46</v>
      </c>
      <c r="AD245" t="s">
        <v>46</v>
      </c>
      <c r="AE245" t="s">
        <v>46</v>
      </c>
      <c r="AF245" t="s">
        <v>64</v>
      </c>
      <c r="AG245" t="s">
        <v>99</v>
      </c>
      <c r="AH245" s="2" t="s">
        <v>43</v>
      </c>
    </row>
    <row r="246" spans="1:34" ht="90">
      <c r="A246" s="6" t="s">
        <v>158</v>
      </c>
      <c r="B246" s="7">
        <v>46087</v>
      </c>
      <c r="C246" s="9" t="str">
        <f>HYPERLINK("https://eping.wto.org/en/Search?viewData= G/TBT/N/UKR/373/Add.1"," G/TBT/N/UKR/373/Add.1")</f>
        <v xml:space="preserve"> G/TBT/N/UKR/373/Add.1</v>
      </c>
      <c r="D246" s="8" t="s">
        <v>1281</v>
      </c>
      <c r="E246" s="8" t="s">
        <v>1282</v>
      </c>
      <c r="F246" s="8" t="s">
        <v>1283</v>
      </c>
      <c r="G246" s="8" t="s">
        <v>1284</v>
      </c>
      <c r="H246" s="8" t="s">
        <v>1285</v>
      </c>
      <c r="I246" s="8" t="s">
        <v>1286</v>
      </c>
      <c r="J246" s="8" t="s">
        <v>43</v>
      </c>
      <c r="K246" s="8" t="s">
        <v>860</v>
      </c>
      <c r="L246" s="6"/>
      <c r="M246" s="7" t="s">
        <v>43</v>
      </c>
      <c r="N246" s="7"/>
      <c r="O246" s="7"/>
      <c r="P246" s="6" t="s">
        <v>44</v>
      </c>
      <c r="Q246" s="8" t="s">
        <v>1287</v>
      </c>
      <c r="R246" t="str">
        <f>HYPERLINK("https://docs.wto.org/imrd/directdoc.asp?DDFDocuments/t/G/TBTN26/UKR373A1.docx", "https://docs.wto.org/imrd/directdoc.asp?DDFDocuments/t/G/TBTN26/UKR373A1.docx")</f>
        <v>https://docs.wto.org/imrd/directdoc.asp?DDFDocuments/t/G/TBTN26/UKR373A1.docx</v>
      </c>
      <c r="S246" t="str">
        <f>HYPERLINK("https://docs.wto.org/imrd/directdoc.asp?DDFDocuments/u/G/TBTN26/UKR373A1.docx", "https://docs.wto.org/imrd/directdoc.asp?DDFDocuments/u/G/TBTN26/UKR373A1.docx")</f>
        <v>https://docs.wto.org/imrd/directdoc.asp?DDFDocuments/u/G/TBTN26/UKR373A1.docx</v>
      </c>
      <c r="T246" t="str">
        <f>HYPERLINK("https://docs.wto.org/imrd/directdoc.asp?DDFDocuments/v/G/TBTN26/UKR373A1.docx", "https://docs.wto.org/imrd/directdoc.asp?DDFDocuments/v/G/TBTN26/UKR373A1.docx")</f>
        <v>https://docs.wto.org/imrd/directdoc.asp?DDFDocuments/v/G/TBTN26/UKR373A1.docx</v>
      </c>
      <c r="U246" t="s">
        <v>46</v>
      </c>
      <c r="V246" t="s">
        <v>46</v>
      </c>
      <c r="W246" t="s">
        <v>46</v>
      </c>
      <c r="X246" t="s">
        <v>46</v>
      </c>
      <c r="Y246" t="s">
        <v>46</v>
      </c>
      <c r="Z246" t="s">
        <v>46</v>
      </c>
      <c r="AA246" t="s">
        <v>46</v>
      </c>
      <c r="AB246" s="2" t="s">
        <v>43</v>
      </c>
      <c r="AC246" t="s">
        <v>43</v>
      </c>
      <c r="AD246" t="s">
        <v>43</v>
      </c>
      <c r="AE246" t="s">
        <v>43</v>
      </c>
      <c r="AF246" t="s">
        <v>43</v>
      </c>
      <c r="AG246" t="s">
        <v>43</v>
      </c>
      <c r="AH246" s="2" t="s">
        <v>43</v>
      </c>
    </row>
    <row r="247" spans="1:34" ht="60">
      <c r="A247" s="6" t="s">
        <v>390</v>
      </c>
      <c r="B247" s="7">
        <v>46087</v>
      </c>
      <c r="C247" s="9" t="str">
        <f>HYPERLINK("https://eping.wto.org/en/Search?viewData= G/SPS/N/TZA/501"," G/SPS/N/TZA/501")</f>
        <v xml:space="preserve"> G/SPS/N/TZA/501</v>
      </c>
      <c r="D247" s="8" t="s">
        <v>1288</v>
      </c>
      <c r="E247" s="8" t="s">
        <v>1289</v>
      </c>
      <c r="F247" s="8" t="s">
        <v>1290</v>
      </c>
      <c r="G247" s="8" t="s">
        <v>1291</v>
      </c>
      <c r="H247" s="8" t="s">
        <v>1292</v>
      </c>
      <c r="I247" s="8" t="s">
        <v>58</v>
      </c>
      <c r="J247" s="8" t="s">
        <v>43</v>
      </c>
      <c r="K247" s="8" t="s">
        <v>310</v>
      </c>
      <c r="L247" s="6" t="s">
        <v>43</v>
      </c>
      <c r="M247" s="7">
        <v>46147</v>
      </c>
      <c r="N247" s="7" t="s">
        <v>396</v>
      </c>
      <c r="O247" s="7" t="s">
        <v>304</v>
      </c>
      <c r="P247" s="6" t="s">
        <v>62</v>
      </c>
      <c r="Q247" s="8" t="s">
        <v>1293</v>
      </c>
      <c r="R247" t="str">
        <f>HYPERLINK("https://docs.wto.org/imrd/directdoc.asp?DDFDocuments/t/G/SPS/NTZA501.docx", "https://docs.wto.org/imrd/directdoc.asp?DDFDocuments/t/G/SPS/NTZA501.docx")</f>
        <v>https://docs.wto.org/imrd/directdoc.asp?DDFDocuments/t/G/SPS/NTZA501.docx</v>
      </c>
      <c r="S247" t="str">
        <f>HYPERLINK("https://docs.wto.org/imrd/directdoc.asp?DDFDocuments/u/G/SPS/NTZA501.docx", "https://docs.wto.org/imrd/directdoc.asp?DDFDocuments/u/G/SPS/NTZA501.docx")</f>
        <v>https://docs.wto.org/imrd/directdoc.asp?DDFDocuments/u/G/SPS/NTZA501.docx</v>
      </c>
      <c r="T247" t="str">
        <f>HYPERLINK("https://docs.wto.org/imrd/directdoc.asp?DDFDocuments/v/G/SPS/NTZA501.docx", "https://docs.wto.org/imrd/directdoc.asp?DDFDocuments/v/G/SPS/NTZA501.docx")</f>
        <v>https://docs.wto.org/imrd/directdoc.asp?DDFDocuments/v/G/SPS/NTZA501.docx</v>
      </c>
      <c r="U247" t="s">
        <v>43</v>
      </c>
      <c r="V247" t="s">
        <v>43</v>
      </c>
      <c r="W247" t="s">
        <v>43</v>
      </c>
      <c r="X247" t="s">
        <v>43</v>
      </c>
      <c r="Y247" t="s">
        <v>43</v>
      </c>
      <c r="Z247" t="s">
        <v>43</v>
      </c>
      <c r="AA247" t="s">
        <v>43</v>
      </c>
      <c r="AB247" s="2" t="s">
        <v>43</v>
      </c>
      <c r="AC247" t="s">
        <v>46</v>
      </c>
      <c r="AD247" t="s">
        <v>46</v>
      </c>
      <c r="AE247" t="s">
        <v>46</v>
      </c>
      <c r="AF247" t="s">
        <v>64</v>
      </c>
      <c r="AG247" t="s">
        <v>99</v>
      </c>
      <c r="AH247" s="2" t="s">
        <v>43</v>
      </c>
    </row>
    <row r="248" spans="1:34" ht="45">
      <c r="A248" s="6" t="s">
        <v>390</v>
      </c>
      <c r="B248" s="7">
        <v>46087</v>
      </c>
      <c r="C248" s="9" t="str">
        <f>HYPERLINK("https://eping.wto.org/en/Search?viewData= G/SPS/N/TZA/502"," G/SPS/N/TZA/502")</f>
        <v xml:space="preserve"> G/SPS/N/TZA/502</v>
      </c>
      <c r="D248" s="8" t="s">
        <v>1294</v>
      </c>
      <c r="E248" s="8" t="s">
        <v>1295</v>
      </c>
      <c r="F248" s="8" t="s">
        <v>1296</v>
      </c>
      <c r="G248" s="8" t="s">
        <v>1297</v>
      </c>
      <c r="H248" s="8" t="s">
        <v>1292</v>
      </c>
      <c r="I248" s="8" t="s">
        <v>58</v>
      </c>
      <c r="J248" s="8" t="s">
        <v>43</v>
      </c>
      <c r="K248" s="8" t="s">
        <v>310</v>
      </c>
      <c r="L248" s="6" t="s">
        <v>43</v>
      </c>
      <c r="M248" s="7">
        <v>46147</v>
      </c>
      <c r="N248" s="7" t="s">
        <v>396</v>
      </c>
      <c r="O248" s="7" t="s">
        <v>304</v>
      </c>
      <c r="P248" s="6" t="s">
        <v>62</v>
      </c>
      <c r="Q248" s="8" t="s">
        <v>1298</v>
      </c>
      <c r="R248" t="str">
        <f>HYPERLINK("https://docs.wto.org/imrd/directdoc.asp?DDFDocuments/t/G/SPS/NTZA502.docx", "https://docs.wto.org/imrd/directdoc.asp?DDFDocuments/t/G/SPS/NTZA502.docx")</f>
        <v>https://docs.wto.org/imrd/directdoc.asp?DDFDocuments/t/G/SPS/NTZA502.docx</v>
      </c>
      <c r="S248" t="str">
        <f>HYPERLINK("https://docs.wto.org/imrd/directdoc.asp?DDFDocuments/u/G/SPS/NTZA502.docx", "https://docs.wto.org/imrd/directdoc.asp?DDFDocuments/u/G/SPS/NTZA502.docx")</f>
        <v>https://docs.wto.org/imrd/directdoc.asp?DDFDocuments/u/G/SPS/NTZA502.docx</v>
      </c>
      <c r="T248" t="str">
        <f>HYPERLINK("https://docs.wto.org/imrd/directdoc.asp?DDFDocuments/v/G/SPS/NTZA502.docx", "https://docs.wto.org/imrd/directdoc.asp?DDFDocuments/v/G/SPS/NTZA502.docx")</f>
        <v>https://docs.wto.org/imrd/directdoc.asp?DDFDocuments/v/G/SPS/NTZA502.docx</v>
      </c>
      <c r="U248" t="s">
        <v>43</v>
      </c>
      <c r="V248" t="s">
        <v>43</v>
      </c>
      <c r="W248" t="s">
        <v>43</v>
      </c>
      <c r="X248" t="s">
        <v>43</v>
      </c>
      <c r="Y248" t="s">
        <v>43</v>
      </c>
      <c r="Z248" t="s">
        <v>43</v>
      </c>
      <c r="AA248" t="s">
        <v>43</v>
      </c>
      <c r="AB248" s="2" t="s">
        <v>43</v>
      </c>
      <c r="AC248" t="s">
        <v>46</v>
      </c>
      <c r="AD248" t="s">
        <v>46</v>
      </c>
      <c r="AE248" t="s">
        <v>46</v>
      </c>
      <c r="AF248" t="s">
        <v>64</v>
      </c>
      <c r="AG248" t="s">
        <v>99</v>
      </c>
      <c r="AH248" s="2" t="s">
        <v>43</v>
      </c>
    </row>
    <row r="249" spans="1:34" ht="30">
      <c r="A249" s="6" t="s">
        <v>289</v>
      </c>
      <c r="B249" s="7">
        <v>46087</v>
      </c>
      <c r="C249" s="9" t="str">
        <f>HYPERLINK("https://eping.wto.org/en/Search?viewData= G/SPS/N/BRA/2477"," G/SPS/N/BRA/2477")</f>
        <v xml:space="preserve"> G/SPS/N/BRA/2477</v>
      </c>
      <c r="D249" s="8" t="s">
        <v>1299</v>
      </c>
      <c r="E249" s="8" t="s">
        <v>1300</v>
      </c>
      <c r="F249" s="8" t="s">
        <v>1203</v>
      </c>
      <c r="G249" s="8" t="s">
        <v>1204</v>
      </c>
      <c r="H249" s="8" t="s">
        <v>43</v>
      </c>
      <c r="I249" s="8" t="s">
        <v>94</v>
      </c>
      <c r="J249" s="8" t="s">
        <v>43</v>
      </c>
      <c r="K249" s="8" t="s">
        <v>1205</v>
      </c>
      <c r="L249" s="6" t="s">
        <v>1301</v>
      </c>
      <c r="M249" s="7">
        <v>46147</v>
      </c>
      <c r="N249" s="7" t="s">
        <v>304</v>
      </c>
      <c r="O249" s="7" t="s">
        <v>304</v>
      </c>
      <c r="P249" s="6" t="s">
        <v>62</v>
      </c>
      <c r="Q249" s="8" t="s">
        <v>1302</v>
      </c>
      <c r="R249" t="str">
        <f>HYPERLINK("https://docs.wto.org/imrd/directdoc.asp?DDFDocuments/t/G/SPS/NBRA2477.docx", "https://docs.wto.org/imrd/directdoc.asp?DDFDocuments/t/G/SPS/NBRA2477.docx")</f>
        <v>https://docs.wto.org/imrd/directdoc.asp?DDFDocuments/t/G/SPS/NBRA2477.docx</v>
      </c>
      <c r="S249" t="str">
        <f>HYPERLINK("https://docs.wto.org/imrd/directdoc.asp?DDFDocuments/u/G/SPS/NBRA2477.docx", "https://docs.wto.org/imrd/directdoc.asp?DDFDocuments/u/G/SPS/NBRA2477.docx")</f>
        <v>https://docs.wto.org/imrd/directdoc.asp?DDFDocuments/u/G/SPS/NBRA2477.docx</v>
      </c>
      <c r="T249" t="str">
        <f>HYPERLINK("https://docs.wto.org/imrd/directdoc.asp?DDFDocuments/v/G/SPS/NBRA2477.docx", "https://docs.wto.org/imrd/directdoc.asp?DDFDocuments/v/G/SPS/NBRA2477.docx")</f>
        <v>https://docs.wto.org/imrd/directdoc.asp?DDFDocuments/v/G/SPS/NBRA2477.docx</v>
      </c>
      <c r="U249" t="s">
        <v>43</v>
      </c>
      <c r="V249" t="s">
        <v>43</v>
      </c>
      <c r="W249" t="s">
        <v>43</v>
      </c>
      <c r="X249" t="s">
        <v>43</v>
      </c>
      <c r="Y249" t="s">
        <v>43</v>
      </c>
      <c r="Z249" t="s">
        <v>43</v>
      </c>
      <c r="AA249" t="s">
        <v>43</v>
      </c>
      <c r="AB249" s="2" t="s">
        <v>43</v>
      </c>
      <c r="AC249" t="s">
        <v>46</v>
      </c>
      <c r="AD249" t="s">
        <v>46</v>
      </c>
      <c r="AE249" t="s">
        <v>64</v>
      </c>
      <c r="AF249" t="s">
        <v>46</v>
      </c>
      <c r="AG249" t="s">
        <v>64</v>
      </c>
      <c r="AH249" s="2" t="s">
        <v>43</v>
      </c>
    </row>
    <row r="250" spans="1:34" ht="360">
      <c r="A250" s="6" t="s">
        <v>390</v>
      </c>
      <c r="B250" s="7">
        <v>46087</v>
      </c>
      <c r="C250" s="9" t="str">
        <f>HYPERLINK("https://eping.wto.org/en/Search?viewData= G/TBT/N/TZA/1512"," G/TBT/N/TZA/1512")</f>
        <v xml:space="preserve"> G/TBT/N/TZA/1512</v>
      </c>
      <c r="D250" s="8" t="s">
        <v>1303</v>
      </c>
      <c r="E250" s="8" t="s">
        <v>1304</v>
      </c>
      <c r="F250" s="8" t="s">
        <v>1305</v>
      </c>
      <c r="G250" s="8" t="s">
        <v>1306</v>
      </c>
      <c r="H250" s="8" t="s">
        <v>1292</v>
      </c>
      <c r="I250" s="8" t="s">
        <v>684</v>
      </c>
      <c r="J250" s="8" t="s">
        <v>43</v>
      </c>
      <c r="K250" s="8" t="s">
        <v>240</v>
      </c>
      <c r="L250" s="6"/>
      <c r="M250" s="7">
        <v>46147</v>
      </c>
      <c r="N250" s="7" t="s">
        <v>79</v>
      </c>
      <c r="O250" s="7" t="s">
        <v>79</v>
      </c>
      <c r="P250" s="6" t="s">
        <v>62</v>
      </c>
      <c r="Q250" s="8" t="s">
        <v>1307</v>
      </c>
      <c r="R250" t="str">
        <f>HYPERLINK("https://docs.wto.org/imrd/directdoc.asp?DDFDocuments/t/G/TBTN26/TZA1512.docx", "https://docs.wto.org/imrd/directdoc.asp?DDFDocuments/t/G/TBTN26/TZA1512.docx")</f>
        <v>https://docs.wto.org/imrd/directdoc.asp?DDFDocuments/t/G/TBTN26/TZA1512.docx</v>
      </c>
      <c r="S250" t="str">
        <f>HYPERLINK("https://docs.wto.org/imrd/directdoc.asp?DDFDocuments/u/G/TBTN26/TZA1512.docx", "https://docs.wto.org/imrd/directdoc.asp?DDFDocuments/u/G/TBTN26/TZA1512.docx")</f>
        <v>https://docs.wto.org/imrd/directdoc.asp?DDFDocuments/u/G/TBTN26/TZA1512.docx</v>
      </c>
      <c r="T250" t="str">
        <f>HYPERLINK("https://docs.wto.org/imrd/directdoc.asp?DDFDocuments/v/G/TBTN26/TZA1512.docx", "https://docs.wto.org/imrd/directdoc.asp?DDFDocuments/v/G/TBTN26/TZA1512.docx")</f>
        <v>https://docs.wto.org/imrd/directdoc.asp?DDFDocuments/v/G/TBTN26/TZA1512.docx</v>
      </c>
      <c r="U250" t="s">
        <v>64</v>
      </c>
      <c r="V250" t="s">
        <v>46</v>
      </c>
      <c r="W250" t="s">
        <v>46</v>
      </c>
      <c r="X250" t="s">
        <v>46</v>
      </c>
      <c r="Y250" t="s">
        <v>46</v>
      </c>
      <c r="Z250" t="s">
        <v>46</v>
      </c>
      <c r="AA250" t="s">
        <v>46</v>
      </c>
      <c r="AB250" s="2" t="s">
        <v>1308</v>
      </c>
      <c r="AC250" t="s">
        <v>43</v>
      </c>
      <c r="AD250" t="s">
        <v>43</v>
      </c>
      <c r="AE250" t="s">
        <v>43</v>
      </c>
      <c r="AF250" t="s">
        <v>43</v>
      </c>
      <c r="AG250" t="s">
        <v>43</v>
      </c>
      <c r="AH250" s="2" t="s">
        <v>43</v>
      </c>
    </row>
    <row r="251" spans="1:34" ht="45">
      <c r="A251" s="6" t="s">
        <v>390</v>
      </c>
      <c r="B251" s="7">
        <v>46087</v>
      </c>
      <c r="C251" s="9" t="str">
        <f>HYPERLINK("https://eping.wto.org/en/Search?viewData= G/SPS/N/TZA/500"," G/SPS/N/TZA/500")</f>
        <v xml:space="preserve"> G/SPS/N/TZA/500</v>
      </c>
      <c r="D251" s="8" t="s">
        <v>1309</v>
      </c>
      <c r="E251" s="8" t="s">
        <v>1310</v>
      </c>
      <c r="F251" s="8" t="s">
        <v>1219</v>
      </c>
      <c r="G251" s="8" t="s">
        <v>1220</v>
      </c>
      <c r="H251" s="8" t="s">
        <v>1172</v>
      </c>
      <c r="I251" s="8" t="s">
        <v>58</v>
      </c>
      <c r="J251" s="8" t="s">
        <v>43</v>
      </c>
      <c r="K251" s="8" t="s">
        <v>157</v>
      </c>
      <c r="L251" s="6" t="s">
        <v>43</v>
      </c>
      <c r="M251" s="7">
        <v>46147</v>
      </c>
      <c r="N251" s="7" t="s">
        <v>396</v>
      </c>
      <c r="O251" s="7" t="s">
        <v>304</v>
      </c>
      <c r="P251" s="6" t="s">
        <v>62</v>
      </c>
      <c r="Q251" s="8" t="s">
        <v>1311</v>
      </c>
      <c r="R251" t="str">
        <f>HYPERLINK("https://docs.wto.org/imrd/directdoc.asp?DDFDocuments/t/G/SPS/NTZA500.docx", "https://docs.wto.org/imrd/directdoc.asp?DDFDocuments/t/G/SPS/NTZA500.docx")</f>
        <v>https://docs.wto.org/imrd/directdoc.asp?DDFDocuments/t/G/SPS/NTZA500.docx</v>
      </c>
      <c r="S251" t="str">
        <f>HYPERLINK("https://docs.wto.org/imrd/directdoc.asp?DDFDocuments/u/G/SPS/NTZA500.docx", "https://docs.wto.org/imrd/directdoc.asp?DDFDocuments/u/G/SPS/NTZA500.docx")</f>
        <v>https://docs.wto.org/imrd/directdoc.asp?DDFDocuments/u/G/SPS/NTZA500.docx</v>
      </c>
      <c r="T251" t="str">
        <f>HYPERLINK("https://docs.wto.org/imrd/directdoc.asp?DDFDocuments/v/G/SPS/NTZA500.docx", "https://docs.wto.org/imrd/directdoc.asp?DDFDocuments/v/G/SPS/NTZA500.docx")</f>
        <v>https://docs.wto.org/imrd/directdoc.asp?DDFDocuments/v/G/SPS/NTZA500.docx</v>
      </c>
      <c r="U251" t="s">
        <v>43</v>
      </c>
      <c r="V251" t="s">
        <v>43</v>
      </c>
      <c r="W251" t="s">
        <v>43</v>
      </c>
      <c r="X251" t="s">
        <v>43</v>
      </c>
      <c r="Y251" t="s">
        <v>43</v>
      </c>
      <c r="Z251" t="s">
        <v>43</v>
      </c>
      <c r="AA251" t="s">
        <v>43</v>
      </c>
      <c r="AB251" s="2" t="s">
        <v>43</v>
      </c>
      <c r="AC251" t="s">
        <v>46</v>
      </c>
      <c r="AD251" t="s">
        <v>46</v>
      </c>
      <c r="AE251" t="s">
        <v>46</v>
      </c>
      <c r="AF251" t="s">
        <v>64</v>
      </c>
      <c r="AG251" t="s">
        <v>99</v>
      </c>
      <c r="AH251" s="2" t="s">
        <v>43</v>
      </c>
    </row>
    <row r="252" spans="1:34" ht="300">
      <c r="A252" s="6" t="s">
        <v>390</v>
      </c>
      <c r="B252" s="7">
        <v>46087</v>
      </c>
      <c r="C252" s="9" t="str">
        <f>HYPERLINK("https://eping.wto.org/en/Search?viewData= G/TBT/N/TZA/1513"," G/TBT/N/TZA/1513")</f>
        <v xml:space="preserve"> G/TBT/N/TZA/1513</v>
      </c>
      <c r="D252" s="8" t="s">
        <v>1312</v>
      </c>
      <c r="E252" s="8" t="s">
        <v>1313</v>
      </c>
      <c r="F252" s="8" t="s">
        <v>1290</v>
      </c>
      <c r="G252" s="8" t="s">
        <v>1291</v>
      </c>
      <c r="H252" s="8" t="s">
        <v>1292</v>
      </c>
      <c r="I252" s="8" t="s">
        <v>684</v>
      </c>
      <c r="J252" s="8" t="s">
        <v>43</v>
      </c>
      <c r="K252" s="8" t="s">
        <v>240</v>
      </c>
      <c r="L252" s="6"/>
      <c r="M252" s="7">
        <v>46147</v>
      </c>
      <c r="N252" s="7" t="s">
        <v>79</v>
      </c>
      <c r="O252" s="7" t="s">
        <v>79</v>
      </c>
      <c r="P252" s="6" t="s">
        <v>62</v>
      </c>
      <c r="Q252" s="8" t="s">
        <v>1314</v>
      </c>
      <c r="R252" t="str">
        <f>HYPERLINK("https://docs.wto.org/imrd/directdoc.asp?DDFDocuments/t/G/TBTN26/TZA1513.docx", "https://docs.wto.org/imrd/directdoc.asp?DDFDocuments/t/G/TBTN26/TZA1513.docx")</f>
        <v>https://docs.wto.org/imrd/directdoc.asp?DDFDocuments/t/G/TBTN26/TZA1513.docx</v>
      </c>
      <c r="S252" t="str">
        <f>HYPERLINK("https://docs.wto.org/imrd/directdoc.asp?DDFDocuments/u/G/TBTN26/TZA1513.docx", "https://docs.wto.org/imrd/directdoc.asp?DDFDocuments/u/G/TBTN26/TZA1513.docx")</f>
        <v>https://docs.wto.org/imrd/directdoc.asp?DDFDocuments/u/G/TBTN26/TZA1513.docx</v>
      </c>
      <c r="T252" t="str">
        <f>HYPERLINK("https://docs.wto.org/imrd/directdoc.asp?DDFDocuments/v/G/TBTN26/TZA1513.docx", "https://docs.wto.org/imrd/directdoc.asp?DDFDocuments/v/G/TBTN26/TZA1513.docx")</f>
        <v>https://docs.wto.org/imrd/directdoc.asp?DDFDocuments/v/G/TBTN26/TZA1513.docx</v>
      </c>
      <c r="U252" t="s">
        <v>64</v>
      </c>
      <c r="V252" t="s">
        <v>46</v>
      </c>
      <c r="W252" t="s">
        <v>46</v>
      </c>
      <c r="X252" t="s">
        <v>46</v>
      </c>
      <c r="Y252" t="s">
        <v>46</v>
      </c>
      <c r="Z252" t="s">
        <v>46</v>
      </c>
      <c r="AA252" t="s">
        <v>46</v>
      </c>
      <c r="AB252" s="2" t="s">
        <v>1315</v>
      </c>
      <c r="AC252" t="s">
        <v>43</v>
      </c>
      <c r="AD252" t="s">
        <v>43</v>
      </c>
      <c r="AE252" t="s">
        <v>43</v>
      </c>
      <c r="AF252" t="s">
        <v>43</v>
      </c>
      <c r="AG252" t="s">
        <v>43</v>
      </c>
      <c r="AH252" s="2" t="s">
        <v>43</v>
      </c>
    </row>
    <row r="253" spans="1:34" ht="195">
      <c r="A253" s="6" t="s">
        <v>82</v>
      </c>
      <c r="B253" s="7">
        <v>46087</v>
      </c>
      <c r="C253" s="9" t="str">
        <f>HYPERLINK("https://eping.wto.org/en/Search?viewData= G/SPS/N/JPN/1394"," G/SPS/N/JPN/1394")</f>
        <v xml:space="preserve"> G/SPS/N/JPN/1394</v>
      </c>
      <c r="D253" s="8" t="s">
        <v>1316</v>
      </c>
      <c r="E253" s="8" t="s">
        <v>1317</v>
      </c>
      <c r="F253" s="8" t="s">
        <v>1318</v>
      </c>
      <c r="G253" s="8" t="s">
        <v>43</v>
      </c>
      <c r="H253" s="8" t="s">
        <v>43</v>
      </c>
      <c r="I253" s="8" t="s">
        <v>254</v>
      </c>
      <c r="J253" s="8" t="s">
        <v>43</v>
      </c>
      <c r="K253" s="8" t="s">
        <v>255</v>
      </c>
      <c r="L253" s="6" t="s">
        <v>43</v>
      </c>
      <c r="M253" s="7">
        <v>46147</v>
      </c>
      <c r="N253" s="7" t="s">
        <v>485</v>
      </c>
      <c r="O253" s="7" t="s">
        <v>1319</v>
      </c>
      <c r="P253" s="6" t="s">
        <v>62</v>
      </c>
      <c r="Q253" s="8" t="s">
        <v>1320</v>
      </c>
      <c r="R253" t="str">
        <f>HYPERLINK("https://docs.wto.org/imrd/directdoc.asp?DDFDocuments/t/G/SPS/NJPN1394.docx", "https://docs.wto.org/imrd/directdoc.asp?DDFDocuments/t/G/SPS/NJPN1394.docx")</f>
        <v>https://docs.wto.org/imrd/directdoc.asp?DDFDocuments/t/G/SPS/NJPN1394.docx</v>
      </c>
      <c r="S253" t="str">
        <f>HYPERLINK("https://docs.wto.org/imrd/directdoc.asp?DDFDocuments/u/G/SPS/NJPN1394.docx", "https://docs.wto.org/imrd/directdoc.asp?DDFDocuments/u/G/SPS/NJPN1394.docx")</f>
        <v>https://docs.wto.org/imrd/directdoc.asp?DDFDocuments/u/G/SPS/NJPN1394.docx</v>
      </c>
      <c r="T253" t="str">
        <f>HYPERLINK("https://docs.wto.org/imrd/directdoc.asp?DDFDocuments/v/G/SPS/NJPN1394.docx", "https://docs.wto.org/imrd/directdoc.asp?DDFDocuments/v/G/SPS/NJPN1394.docx")</f>
        <v>https://docs.wto.org/imrd/directdoc.asp?DDFDocuments/v/G/SPS/NJPN1394.docx</v>
      </c>
      <c r="U253" t="s">
        <v>43</v>
      </c>
      <c r="V253" t="s">
        <v>43</v>
      </c>
      <c r="W253" t="s">
        <v>43</v>
      </c>
      <c r="X253" t="s">
        <v>43</v>
      </c>
      <c r="Y253" t="s">
        <v>43</v>
      </c>
      <c r="Z253" t="s">
        <v>43</v>
      </c>
      <c r="AA253" t="s">
        <v>43</v>
      </c>
      <c r="AB253" s="2" t="s">
        <v>43</v>
      </c>
      <c r="AC253" t="s">
        <v>46</v>
      </c>
      <c r="AD253" t="s">
        <v>46</v>
      </c>
      <c r="AE253" t="s">
        <v>64</v>
      </c>
      <c r="AF253" t="s">
        <v>46</v>
      </c>
      <c r="AG253" t="s">
        <v>64</v>
      </c>
      <c r="AH253" s="2" t="s">
        <v>43</v>
      </c>
    </row>
    <row r="254" spans="1:34" ht="135">
      <c r="A254" s="6" t="s">
        <v>390</v>
      </c>
      <c r="B254" s="7">
        <v>46087</v>
      </c>
      <c r="C254" s="9" t="str">
        <f>HYPERLINK("https://eping.wto.org/en/Search?viewData= G/TBT/N/TZA/1517"," G/TBT/N/TZA/1517")</f>
        <v xml:space="preserve"> G/TBT/N/TZA/1517</v>
      </c>
      <c r="D254" s="8" t="s">
        <v>1321</v>
      </c>
      <c r="E254" s="8" t="s">
        <v>1322</v>
      </c>
      <c r="F254" s="8" t="s">
        <v>1232</v>
      </c>
      <c r="G254" s="8" t="s">
        <v>1233</v>
      </c>
      <c r="H254" s="8" t="s">
        <v>1172</v>
      </c>
      <c r="I254" s="8" t="s">
        <v>684</v>
      </c>
      <c r="J254" s="8" t="s">
        <v>43</v>
      </c>
      <c r="K254" s="8" t="s">
        <v>240</v>
      </c>
      <c r="L254" s="6"/>
      <c r="M254" s="7">
        <v>46147</v>
      </c>
      <c r="N254" s="7" t="s">
        <v>79</v>
      </c>
      <c r="O254" s="7" t="s">
        <v>79</v>
      </c>
      <c r="P254" s="6" t="s">
        <v>62</v>
      </c>
      <c r="Q254" s="8" t="s">
        <v>1323</v>
      </c>
      <c r="R254" t="str">
        <f>HYPERLINK("https://docs.wto.org/imrd/directdoc.asp?DDFDocuments/t/G/TBTN26/TZA1517.docx", "https://docs.wto.org/imrd/directdoc.asp?DDFDocuments/t/G/TBTN26/TZA1517.docx")</f>
        <v>https://docs.wto.org/imrd/directdoc.asp?DDFDocuments/t/G/TBTN26/TZA1517.docx</v>
      </c>
      <c r="S254" t="str">
        <f>HYPERLINK("https://docs.wto.org/imrd/directdoc.asp?DDFDocuments/u/G/TBTN26/TZA1517.docx", "https://docs.wto.org/imrd/directdoc.asp?DDFDocuments/u/G/TBTN26/TZA1517.docx")</f>
        <v>https://docs.wto.org/imrd/directdoc.asp?DDFDocuments/u/G/TBTN26/TZA1517.docx</v>
      </c>
      <c r="T254" t="str">
        <f>HYPERLINK("https://docs.wto.org/imrd/directdoc.asp?DDFDocuments/v/G/TBTN26/TZA1517.docx", "https://docs.wto.org/imrd/directdoc.asp?DDFDocuments/v/G/TBTN26/TZA1517.docx")</f>
        <v>https://docs.wto.org/imrd/directdoc.asp?DDFDocuments/v/G/TBTN26/TZA1517.docx</v>
      </c>
      <c r="U254" t="s">
        <v>64</v>
      </c>
      <c r="V254" t="s">
        <v>46</v>
      </c>
      <c r="W254" t="s">
        <v>46</v>
      </c>
      <c r="X254" t="s">
        <v>46</v>
      </c>
      <c r="Y254" t="s">
        <v>46</v>
      </c>
      <c r="Z254" t="s">
        <v>46</v>
      </c>
      <c r="AA254" t="s">
        <v>46</v>
      </c>
      <c r="AB254" s="2" t="s">
        <v>1324</v>
      </c>
      <c r="AC254" t="s">
        <v>43</v>
      </c>
      <c r="AD254" t="s">
        <v>43</v>
      </c>
      <c r="AE254" t="s">
        <v>43</v>
      </c>
      <c r="AF254" t="s">
        <v>43</v>
      </c>
      <c r="AG254" t="s">
        <v>43</v>
      </c>
      <c r="AH254" s="2" t="s">
        <v>43</v>
      </c>
    </row>
    <row r="255" spans="1:34" ht="75">
      <c r="A255" s="6" t="s">
        <v>146</v>
      </c>
      <c r="B255" s="7">
        <v>46087</v>
      </c>
      <c r="C255" s="9" t="str">
        <f>HYPERLINK("https://eping.wto.org/en/Search?viewData= G/TBT/N/CHL/786/Add.1"," G/TBT/N/CHL/786/Add.1")</f>
        <v xml:space="preserve"> G/TBT/N/CHL/786/Add.1</v>
      </c>
      <c r="D255" s="8" t="s">
        <v>1325</v>
      </c>
      <c r="E255" s="8" t="s">
        <v>1326</v>
      </c>
      <c r="F255" s="8" t="s">
        <v>1327</v>
      </c>
      <c r="G255" s="8" t="s">
        <v>43</v>
      </c>
      <c r="H255" s="8" t="s">
        <v>858</v>
      </c>
      <c r="I255" s="8" t="s">
        <v>275</v>
      </c>
      <c r="J255" s="8" t="s">
        <v>43</v>
      </c>
      <c r="K255" s="8" t="s">
        <v>860</v>
      </c>
      <c r="L255" s="6"/>
      <c r="M255" s="7">
        <v>46125</v>
      </c>
      <c r="N255" s="7"/>
      <c r="O255" s="7"/>
      <c r="P255" s="6" t="s">
        <v>44</v>
      </c>
      <c r="Q255" s="6"/>
      <c r="R255" t="str">
        <f>HYPERLINK("https://docs.wto.org/imrd/directdoc.asp?DDFDocuments/t/G/TBTN26/CHL786A1.docx", "https://docs.wto.org/imrd/directdoc.asp?DDFDocuments/t/G/TBTN26/CHL786A1.docx")</f>
        <v>https://docs.wto.org/imrd/directdoc.asp?DDFDocuments/t/G/TBTN26/CHL786A1.docx</v>
      </c>
      <c r="S255" t="str">
        <f>HYPERLINK("https://docs.wto.org/imrd/directdoc.asp?DDFDocuments/u/G/TBTN26/CHL786A1.docx", "https://docs.wto.org/imrd/directdoc.asp?DDFDocuments/u/G/TBTN26/CHL786A1.docx")</f>
        <v>https://docs.wto.org/imrd/directdoc.asp?DDFDocuments/u/G/TBTN26/CHL786A1.docx</v>
      </c>
      <c r="T255" t="str">
        <f>HYPERLINK("https://docs.wto.org/imrd/directdoc.asp?DDFDocuments/v/G/TBTN26/CHL786A1.docx", "https://docs.wto.org/imrd/directdoc.asp?DDFDocuments/v/G/TBTN26/CHL786A1.docx")</f>
        <v>https://docs.wto.org/imrd/directdoc.asp?DDFDocuments/v/G/TBTN26/CHL786A1.docx</v>
      </c>
      <c r="U255" t="s">
        <v>46</v>
      </c>
      <c r="V255" t="s">
        <v>46</v>
      </c>
      <c r="W255" t="s">
        <v>46</v>
      </c>
      <c r="X255" t="s">
        <v>46</v>
      </c>
      <c r="Y255" t="s">
        <v>46</v>
      </c>
      <c r="Z255" t="s">
        <v>46</v>
      </c>
      <c r="AA255" t="s">
        <v>46</v>
      </c>
      <c r="AB255" s="2" t="s">
        <v>43</v>
      </c>
      <c r="AC255" t="s">
        <v>43</v>
      </c>
      <c r="AD255" t="s">
        <v>43</v>
      </c>
      <c r="AE255" t="s">
        <v>43</v>
      </c>
      <c r="AF255" t="s">
        <v>43</v>
      </c>
      <c r="AG255" t="s">
        <v>43</v>
      </c>
      <c r="AH255" s="2" t="s">
        <v>43</v>
      </c>
    </row>
    <row r="256" spans="1:34" ht="75">
      <c r="A256" s="6" t="s">
        <v>1328</v>
      </c>
      <c r="B256" s="7">
        <v>46086</v>
      </c>
      <c r="C256" s="9" t="str">
        <f>HYPERLINK("https://eping.wto.org/en/Search?viewData= G/TBT/N/PHL/359"," G/TBT/N/PHL/359")</f>
        <v xml:space="preserve"> G/TBT/N/PHL/359</v>
      </c>
      <c r="D256" s="8" t="s">
        <v>1329</v>
      </c>
      <c r="E256" s="8" t="s">
        <v>1330</v>
      </c>
      <c r="F256" s="8" t="s">
        <v>1331</v>
      </c>
      <c r="G256" s="8" t="s">
        <v>43</v>
      </c>
      <c r="H256" s="8" t="s">
        <v>442</v>
      </c>
      <c r="I256" s="8" t="s">
        <v>275</v>
      </c>
      <c r="J256" s="8" t="s">
        <v>43</v>
      </c>
      <c r="K256" s="8" t="s">
        <v>350</v>
      </c>
      <c r="L256" s="6"/>
      <c r="M256" s="7">
        <v>46099</v>
      </c>
      <c r="N256" s="7" t="s">
        <v>79</v>
      </c>
      <c r="O256" s="7" t="s">
        <v>79</v>
      </c>
      <c r="P256" s="6" t="s">
        <v>62</v>
      </c>
      <c r="Q256" s="8" t="s">
        <v>1332</v>
      </c>
      <c r="R256" t="str">
        <f>HYPERLINK("https://docs.wto.org/imrd/directdoc.asp?DDFDocuments/t/G/TBTN26/PHL359.docx", "https://docs.wto.org/imrd/directdoc.asp?DDFDocuments/t/G/TBTN26/PHL359.docx")</f>
        <v>https://docs.wto.org/imrd/directdoc.asp?DDFDocuments/t/G/TBTN26/PHL359.docx</v>
      </c>
      <c r="S256" t="str">
        <f>HYPERLINK("https://docs.wto.org/imrd/directdoc.asp?DDFDocuments/u/G/TBTN26/PHL359.docx", "https://docs.wto.org/imrd/directdoc.asp?DDFDocuments/u/G/TBTN26/PHL359.docx")</f>
        <v>https://docs.wto.org/imrd/directdoc.asp?DDFDocuments/u/G/TBTN26/PHL359.docx</v>
      </c>
      <c r="T256" t="str">
        <f>HYPERLINK("https://docs.wto.org/imrd/directdoc.asp?DDFDocuments/v/G/TBTN26/PHL359.docx", "https://docs.wto.org/imrd/directdoc.asp?DDFDocuments/v/G/TBTN26/PHL359.docx")</f>
        <v>https://docs.wto.org/imrd/directdoc.asp?DDFDocuments/v/G/TBTN26/PHL359.docx</v>
      </c>
      <c r="U256" t="s">
        <v>64</v>
      </c>
      <c r="V256" t="s">
        <v>46</v>
      </c>
      <c r="W256" t="s">
        <v>46</v>
      </c>
      <c r="X256" t="s">
        <v>46</v>
      </c>
      <c r="Y256" t="s">
        <v>46</v>
      </c>
      <c r="Z256" t="s">
        <v>46</v>
      </c>
      <c r="AA256" t="s">
        <v>46</v>
      </c>
      <c r="AB256" s="2" t="s">
        <v>1333</v>
      </c>
      <c r="AC256" t="s">
        <v>43</v>
      </c>
      <c r="AD256" t="s">
        <v>43</v>
      </c>
      <c r="AE256" t="s">
        <v>43</v>
      </c>
      <c r="AF256" t="s">
        <v>43</v>
      </c>
      <c r="AG256" t="s">
        <v>43</v>
      </c>
      <c r="AH256" s="2" t="s">
        <v>43</v>
      </c>
    </row>
    <row r="257" spans="1:34" ht="120">
      <c r="A257" s="6" t="s">
        <v>356</v>
      </c>
      <c r="B257" s="7">
        <v>46086</v>
      </c>
      <c r="C257" s="9" t="str">
        <f>HYPERLINK("https://eping.wto.org/en/Search?viewData= G/SPS/N/EU/926"," G/SPS/N/EU/926")</f>
        <v xml:space="preserve"> G/SPS/N/EU/926</v>
      </c>
      <c r="D257" s="8" t="s">
        <v>1334</v>
      </c>
      <c r="E257" s="8" t="s">
        <v>1335</v>
      </c>
      <c r="F257" s="8" t="s">
        <v>359</v>
      </c>
      <c r="G257" s="8" t="s">
        <v>156</v>
      </c>
      <c r="H257" s="8" t="s">
        <v>43</v>
      </c>
      <c r="I257" s="8" t="s">
        <v>361</v>
      </c>
      <c r="J257" s="8" t="s">
        <v>43</v>
      </c>
      <c r="K257" s="8" t="s">
        <v>1183</v>
      </c>
      <c r="L257" s="6"/>
      <c r="M257" s="7" t="s">
        <v>43</v>
      </c>
      <c r="N257" s="7">
        <v>46079</v>
      </c>
      <c r="O257" s="7" t="s">
        <v>1184</v>
      </c>
      <c r="P257" s="6" t="s">
        <v>62</v>
      </c>
      <c r="Q257" s="8" t="s">
        <v>1336</v>
      </c>
      <c r="R257" t="str">
        <f>HYPERLINK("https://docs.wto.org/imrd/directdoc.asp?DDFDocuments/t/G/SPS/NEU926.docx", "https://docs.wto.org/imrd/directdoc.asp?DDFDocuments/t/G/SPS/NEU926.docx")</f>
        <v>https://docs.wto.org/imrd/directdoc.asp?DDFDocuments/t/G/SPS/NEU926.docx</v>
      </c>
      <c r="S257" t="str">
        <f>HYPERLINK("https://docs.wto.org/imrd/directdoc.asp?DDFDocuments/u/G/SPS/NEU926.docx", "https://docs.wto.org/imrd/directdoc.asp?DDFDocuments/u/G/SPS/NEU926.docx")</f>
        <v>https://docs.wto.org/imrd/directdoc.asp?DDFDocuments/u/G/SPS/NEU926.docx</v>
      </c>
      <c r="T257" t="str">
        <f>HYPERLINK("https://docs.wto.org/imrd/directdoc.asp?DDFDocuments/v/G/SPS/NEU926.docx", "https://docs.wto.org/imrd/directdoc.asp?DDFDocuments/v/G/SPS/NEU926.docx")</f>
        <v>https://docs.wto.org/imrd/directdoc.asp?DDFDocuments/v/G/SPS/NEU926.docx</v>
      </c>
      <c r="U257" t="s">
        <v>43</v>
      </c>
      <c r="V257" t="s">
        <v>43</v>
      </c>
      <c r="W257" t="s">
        <v>43</v>
      </c>
      <c r="X257" t="s">
        <v>43</v>
      </c>
      <c r="Y257" t="s">
        <v>43</v>
      </c>
      <c r="Z257" t="s">
        <v>43</v>
      </c>
      <c r="AA257" t="s">
        <v>43</v>
      </c>
      <c r="AB257" s="2" t="s">
        <v>43</v>
      </c>
      <c r="AC257" t="s">
        <v>64</v>
      </c>
      <c r="AD257" t="s">
        <v>46</v>
      </c>
      <c r="AE257" t="s">
        <v>46</v>
      </c>
      <c r="AF257" t="s">
        <v>46</v>
      </c>
      <c r="AG257" t="s">
        <v>64</v>
      </c>
      <c r="AH257" s="2" t="s">
        <v>43</v>
      </c>
    </row>
    <row r="258" spans="1:34" ht="195">
      <c r="A258" s="6" t="s">
        <v>158</v>
      </c>
      <c r="B258" s="7">
        <v>46086</v>
      </c>
      <c r="C258" s="9" t="str">
        <f>HYPERLINK("https://eping.wto.org/en/Search?viewData= G/TBT/N/UKR/372"," G/TBT/N/UKR/372")</f>
        <v xml:space="preserve"> G/TBT/N/UKR/372</v>
      </c>
      <c r="D258" s="8" t="s">
        <v>1337</v>
      </c>
      <c r="E258" s="8" t="s">
        <v>1338</v>
      </c>
      <c r="F258" s="8" t="s">
        <v>1339</v>
      </c>
      <c r="G258" s="8" t="s">
        <v>1340</v>
      </c>
      <c r="H258" s="8" t="s">
        <v>1341</v>
      </c>
      <c r="I258" s="8" t="s">
        <v>1342</v>
      </c>
      <c r="J258" s="8" t="s">
        <v>43</v>
      </c>
      <c r="K258" s="8" t="s">
        <v>43</v>
      </c>
      <c r="L258" s="6"/>
      <c r="M258" s="7">
        <v>46146</v>
      </c>
      <c r="N258" s="7" t="s">
        <v>79</v>
      </c>
      <c r="O258" s="7" t="s">
        <v>1343</v>
      </c>
      <c r="P258" s="6" t="s">
        <v>62</v>
      </c>
      <c r="Q258" s="8" t="s">
        <v>1344</v>
      </c>
      <c r="R258" t="str">
        <f>HYPERLINK("https://docs.wto.org/imrd/directdoc.asp?DDFDocuments/t/G/TBTN26/UKR372.docx", "https://docs.wto.org/imrd/directdoc.asp?DDFDocuments/t/G/TBTN26/UKR372.docx")</f>
        <v>https://docs.wto.org/imrd/directdoc.asp?DDFDocuments/t/G/TBTN26/UKR372.docx</v>
      </c>
      <c r="S258" t="str">
        <f>HYPERLINK("https://docs.wto.org/imrd/directdoc.asp?DDFDocuments/u/G/TBTN26/UKR372.docx", "https://docs.wto.org/imrd/directdoc.asp?DDFDocuments/u/G/TBTN26/UKR372.docx")</f>
        <v>https://docs.wto.org/imrd/directdoc.asp?DDFDocuments/u/G/TBTN26/UKR372.docx</v>
      </c>
      <c r="T258" t="str">
        <f>HYPERLINK("https://docs.wto.org/imrd/directdoc.asp?DDFDocuments/v/G/TBTN26/UKR372.docx", "https://docs.wto.org/imrd/directdoc.asp?DDFDocuments/v/G/TBTN26/UKR372.docx")</f>
        <v>https://docs.wto.org/imrd/directdoc.asp?DDFDocuments/v/G/TBTN26/UKR372.docx</v>
      </c>
      <c r="U258" t="s">
        <v>64</v>
      </c>
      <c r="V258" t="s">
        <v>46</v>
      </c>
      <c r="W258" t="s">
        <v>64</v>
      </c>
      <c r="X258" t="s">
        <v>46</v>
      </c>
      <c r="Y258" t="s">
        <v>46</v>
      </c>
      <c r="Z258" t="s">
        <v>46</v>
      </c>
      <c r="AA258" t="s">
        <v>46</v>
      </c>
      <c r="AB258" s="2" t="s">
        <v>1345</v>
      </c>
      <c r="AC258" t="s">
        <v>43</v>
      </c>
      <c r="AD258" t="s">
        <v>43</v>
      </c>
      <c r="AE258" t="s">
        <v>43</v>
      </c>
      <c r="AF258" t="s">
        <v>43</v>
      </c>
      <c r="AG258" t="s">
        <v>43</v>
      </c>
      <c r="AH258" s="2" t="s">
        <v>43</v>
      </c>
    </row>
    <row r="259" spans="1:34" ht="45">
      <c r="A259" s="6" t="s">
        <v>1346</v>
      </c>
      <c r="B259" s="7">
        <v>46086</v>
      </c>
      <c r="C259" s="9" t="str">
        <f>HYPERLINK("https://eping.wto.org/en/Search?viewData= G/TBT/N/KGZ/65"," G/TBT/N/KGZ/65")</f>
        <v xml:space="preserve"> G/TBT/N/KGZ/65</v>
      </c>
      <c r="D259" s="8" t="s">
        <v>1347</v>
      </c>
      <c r="E259" s="8" t="s">
        <v>1348</v>
      </c>
      <c r="F259" s="8" t="s">
        <v>1349</v>
      </c>
      <c r="G259" s="8" t="s">
        <v>43</v>
      </c>
      <c r="H259" s="8" t="s">
        <v>1350</v>
      </c>
      <c r="I259" s="8" t="s">
        <v>275</v>
      </c>
      <c r="J259" s="8" t="s">
        <v>43</v>
      </c>
      <c r="K259" s="8" t="s">
        <v>43</v>
      </c>
      <c r="L259" s="6"/>
      <c r="M259" s="7">
        <v>46150</v>
      </c>
      <c r="N259" s="7" t="s">
        <v>79</v>
      </c>
      <c r="O259" s="7" t="s">
        <v>79</v>
      </c>
      <c r="P259" s="6" t="s">
        <v>62</v>
      </c>
      <c r="Q259" s="8" t="s">
        <v>1351</v>
      </c>
      <c r="R259" t="str">
        <f>HYPERLINK("https://docs.wto.org/imrd/directdoc.asp?DDFDocuments/t/G/TBTN26/KGZ65.docx", "https://docs.wto.org/imrd/directdoc.asp?DDFDocuments/t/G/TBTN26/KGZ65.docx")</f>
        <v>https://docs.wto.org/imrd/directdoc.asp?DDFDocuments/t/G/TBTN26/KGZ65.docx</v>
      </c>
      <c r="S259" t="str">
        <f>HYPERLINK("https://docs.wto.org/imrd/directdoc.asp?DDFDocuments/u/G/TBTN26/KGZ65.docx", "https://docs.wto.org/imrd/directdoc.asp?DDFDocuments/u/G/TBTN26/KGZ65.docx")</f>
        <v>https://docs.wto.org/imrd/directdoc.asp?DDFDocuments/u/G/TBTN26/KGZ65.docx</v>
      </c>
      <c r="T259" t="str">
        <f>HYPERLINK("https://docs.wto.org/imrd/directdoc.asp?DDFDocuments/v/G/TBTN26/KGZ65.docx", "https://docs.wto.org/imrd/directdoc.asp?DDFDocuments/v/G/TBTN26/KGZ65.docx")</f>
        <v>https://docs.wto.org/imrd/directdoc.asp?DDFDocuments/v/G/TBTN26/KGZ65.docx</v>
      </c>
      <c r="U259" t="s">
        <v>64</v>
      </c>
      <c r="V259" t="s">
        <v>46</v>
      </c>
      <c r="W259" t="s">
        <v>46</v>
      </c>
      <c r="X259" t="s">
        <v>46</v>
      </c>
      <c r="Y259" t="s">
        <v>46</v>
      </c>
      <c r="Z259" t="s">
        <v>46</v>
      </c>
      <c r="AA259" t="s">
        <v>46</v>
      </c>
      <c r="AB259" s="2" t="s">
        <v>1347</v>
      </c>
      <c r="AC259" t="s">
        <v>43</v>
      </c>
      <c r="AD259" t="s">
        <v>43</v>
      </c>
      <c r="AE259" t="s">
        <v>43</v>
      </c>
      <c r="AF259" t="s">
        <v>43</v>
      </c>
      <c r="AG259" t="s">
        <v>43</v>
      </c>
      <c r="AH259" s="2" t="s">
        <v>43</v>
      </c>
    </row>
    <row r="260" spans="1:34" ht="45">
      <c r="A260" s="6" t="s">
        <v>892</v>
      </c>
      <c r="B260" s="7">
        <v>46086</v>
      </c>
      <c r="C260" s="9" t="str">
        <f>HYPERLINK("https://eping.wto.org/en/Search?viewData= G/SPS/N/PAN/117"," G/SPS/N/PAN/117")</f>
        <v xml:space="preserve"> G/SPS/N/PAN/117</v>
      </c>
      <c r="D260" s="8" t="s">
        <v>1352</v>
      </c>
      <c r="E260" s="8" t="s">
        <v>1353</v>
      </c>
      <c r="F260" s="8" t="s">
        <v>1354</v>
      </c>
      <c r="G260" s="8" t="s">
        <v>1355</v>
      </c>
      <c r="H260" s="8" t="s">
        <v>431</v>
      </c>
      <c r="I260" s="8" t="s">
        <v>1090</v>
      </c>
      <c r="J260" s="8" t="s">
        <v>43</v>
      </c>
      <c r="K260" s="8" t="s">
        <v>310</v>
      </c>
      <c r="L260" s="6" t="s">
        <v>43</v>
      </c>
      <c r="M260" s="7">
        <v>46146</v>
      </c>
      <c r="N260" s="7" t="s">
        <v>79</v>
      </c>
      <c r="O260" s="7" t="s">
        <v>79</v>
      </c>
      <c r="P260" s="6" t="s">
        <v>62</v>
      </c>
      <c r="Q260" s="8" t="s">
        <v>1356</v>
      </c>
      <c r="R260" t="str">
        <f>HYPERLINK("https://docs.wto.org/imrd/directdoc.asp?DDFDocuments/t/G/SPS/NPAN117.docx", "https://docs.wto.org/imrd/directdoc.asp?DDFDocuments/t/G/SPS/NPAN117.docx")</f>
        <v>https://docs.wto.org/imrd/directdoc.asp?DDFDocuments/t/G/SPS/NPAN117.docx</v>
      </c>
      <c r="S260" t="str">
        <f>HYPERLINK("https://docs.wto.org/imrd/directdoc.asp?DDFDocuments/u/G/SPS/NPAN117.docx", "https://docs.wto.org/imrd/directdoc.asp?DDFDocuments/u/G/SPS/NPAN117.docx")</f>
        <v>https://docs.wto.org/imrd/directdoc.asp?DDFDocuments/u/G/SPS/NPAN117.docx</v>
      </c>
      <c r="T260" t="str">
        <f>HYPERLINK("https://docs.wto.org/imrd/directdoc.asp?DDFDocuments/v/G/SPS/NPAN117.docx", "https://docs.wto.org/imrd/directdoc.asp?DDFDocuments/v/G/SPS/NPAN117.docx")</f>
        <v>https://docs.wto.org/imrd/directdoc.asp?DDFDocuments/v/G/SPS/NPAN117.docx</v>
      </c>
      <c r="U260" t="s">
        <v>43</v>
      </c>
      <c r="V260" t="s">
        <v>43</v>
      </c>
      <c r="W260" t="s">
        <v>43</v>
      </c>
      <c r="X260" t="s">
        <v>43</v>
      </c>
      <c r="Y260" t="s">
        <v>43</v>
      </c>
      <c r="Z260" t="s">
        <v>43</v>
      </c>
      <c r="AA260" t="s">
        <v>43</v>
      </c>
      <c r="AB260" s="2" t="s">
        <v>43</v>
      </c>
      <c r="AC260" t="s">
        <v>46</v>
      </c>
      <c r="AD260" t="s">
        <v>46</v>
      </c>
      <c r="AE260" t="s">
        <v>46</v>
      </c>
      <c r="AF260" t="s">
        <v>64</v>
      </c>
      <c r="AG260" t="s">
        <v>99</v>
      </c>
      <c r="AH260" s="2" t="s">
        <v>43</v>
      </c>
    </row>
    <row r="261" spans="1:34" ht="375">
      <c r="A261" s="6" t="s">
        <v>47</v>
      </c>
      <c r="B261" s="7">
        <v>46086</v>
      </c>
      <c r="C261" s="9" t="str">
        <f>HYPERLINK("https://eping.wto.org/en/Search?viewData= G/SPS/N/CAN/1634"," G/SPS/N/CAN/1634")</f>
        <v xml:space="preserve"> G/SPS/N/CAN/1634</v>
      </c>
      <c r="D261" s="8" t="s">
        <v>1357</v>
      </c>
      <c r="E261" s="8" t="s">
        <v>1358</v>
      </c>
      <c r="F261" s="8" t="s">
        <v>1359</v>
      </c>
      <c r="G261" s="8" t="s">
        <v>273</v>
      </c>
      <c r="H261" s="8" t="s">
        <v>43</v>
      </c>
      <c r="I261" s="8" t="s">
        <v>104</v>
      </c>
      <c r="J261" s="8" t="s">
        <v>43</v>
      </c>
      <c r="K261" s="8" t="s">
        <v>493</v>
      </c>
      <c r="L261" s="6" t="s">
        <v>43</v>
      </c>
      <c r="M261" s="7">
        <v>46146</v>
      </c>
      <c r="N261" s="7" t="s">
        <v>1360</v>
      </c>
      <c r="O261" s="7" t="s">
        <v>304</v>
      </c>
      <c r="P261" s="6" t="s">
        <v>62</v>
      </c>
      <c r="Q261" s="6"/>
      <c r="R261" t="str">
        <f>HYPERLINK("https://docs.wto.org/imrd/directdoc.asp?DDFDocuments/t/G/SPS/NCAN1634.docx", "https://docs.wto.org/imrd/directdoc.asp?DDFDocuments/t/G/SPS/NCAN1634.docx")</f>
        <v>https://docs.wto.org/imrd/directdoc.asp?DDFDocuments/t/G/SPS/NCAN1634.docx</v>
      </c>
      <c r="S261" t="str">
        <f>HYPERLINK("https://docs.wto.org/imrd/directdoc.asp?DDFDocuments/u/G/SPS/NCAN1634.docx", "https://docs.wto.org/imrd/directdoc.asp?DDFDocuments/u/G/SPS/NCAN1634.docx")</f>
        <v>https://docs.wto.org/imrd/directdoc.asp?DDFDocuments/u/G/SPS/NCAN1634.docx</v>
      </c>
      <c r="T261" t="str">
        <f>HYPERLINK("https://docs.wto.org/imrd/directdoc.asp?DDFDocuments/v/G/SPS/NCAN1634.docx", "https://docs.wto.org/imrd/directdoc.asp?DDFDocuments/v/G/SPS/NCAN1634.docx")</f>
        <v>https://docs.wto.org/imrd/directdoc.asp?DDFDocuments/v/G/SPS/NCAN1634.docx</v>
      </c>
      <c r="U261" t="s">
        <v>43</v>
      </c>
      <c r="V261" t="s">
        <v>43</v>
      </c>
      <c r="W261" t="s">
        <v>43</v>
      </c>
      <c r="X261" t="s">
        <v>43</v>
      </c>
      <c r="Y261" t="s">
        <v>43</v>
      </c>
      <c r="Z261" t="s">
        <v>43</v>
      </c>
      <c r="AA261" t="s">
        <v>43</v>
      </c>
      <c r="AB261" s="2" t="s">
        <v>43</v>
      </c>
      <c r="AC261" t="s">
        <v>46</v>
      </c>
      <c r="AD261" t="s">
        <v>64</v>
      </c>
      <c r="AE261" t="s">
        <v>46</v>
      </c>
      <c r="AF261" t="s">
        <v>46</v>
      </c>
      <c r="AG261" t="s">
        <v>64</v>
      </c>
      <c r="AH261" s="2" t="s">
        <v>43</v>
      </c>
    </row>
    <row r="262" spans="1:34" ht="60">
      <c r="A262" s="6" t="s">
        <v>209</v>
      </c>
      <c r="B262" s="7">
        <v>46086</v>
      </c>
      <c r="C262" s="9" t="str">
        <f>HYPERLINK("https://eping.wto.org/en/Search?viewData= G/SPS/N/RUS/352"," G/SPS/N/RUS/352")</f>
        <v xml:space="preserve"> G/SPS/N/RUS/352</v>
      </c>
      <c r="D262" s="8" t="s">
        <v>1361</v>
      </c>
      <c r="E262" s="8" t="s">
        <v>1362</v>
      </c>
      <c r="F262" s="8" t="s">
        <v>1363</v>
      </c>
      <c r="G262" s="8" t="s">
        <v>1364</v>
      </c>
      <c r="H262" s="8" t="s">
        <v>43</v>
      </c>
      <c r="I262" s="8" t="s">
        <v>104</v>
      </c>
      <c r="J262" s="8" t="s">
        <v>43</v>
      </c>
      <c r="K262" s="8" t="s">
        <v>1365</v>
      </c>
      <c r="L262" s="6" t="s">
        <v>1366</v>
      </c>
      <c r="M262" s="7" t="s">
        <v>43</v>
      </c>
      <c r="N262" s="7"/>
      <c r="O262" s="7">
        <v>46051</v>
      </c>
      <c r="P262" s="6" t="s">
        <v>107</v>
      </c>
      <c r="Q262" s="8" t="s">
        <v>1367</v>
      </c>
      <c r="R262" t="str">
        <f>HYPERLINK("https://docs.wto.org/imrd/directdoc.asp?DDFDocuments/t/G/SPS/NRUS352.docx", "https://docs.wto.org/imrd/directdoc.asp?DDFDocuments/t/G/SPS/NRUS352.docx")</f>
        <v>https://docs.wto.org/imrd/directdoc.asp?DDFDocuments/t/G/SPS/NRUS352.docx</v>
      </c>
      <c r="S262" t="str">
        <f>HYPERLINK("https://docs.wto.org/imrd/directdoc.asp?DDFDocuments/u/G/SPS/NRUS352.docx", "https://docs.wto.org/imrd/directdoc.asp?DDFDocuments/u/G/SPS/NRUS352.docx")</f>
        <v>https://docs.wto.org/imrd/directdoc.asp?DDFDocuments/u/G/SPS/NRUS352.docx</v>
      </c>
      <c r="T262" t="str">
        <f>HYPERLINK("https://docs.wto.org/imrd/directdoc.asp?DDFDocuments/v/G/SPS/NRUS352.docx", "https://docs.wto.org/imrd/directdoc.asp?DDFDocuments/v/G/SPS/NRUS352.docx")</f>
        <v>https://docs.wto.org/imrd/directdoc.asp?DDFDocuments/v/G/SPS/NRUS352.docx</v>
      </c>
      <c r="U262" t="s">
        <v>43</v>
      </c>
      <c r="V262" t="s">
        <v>43</v>
      </c>
      <c r="W262" t="s">
        <v>43</v>
      </c>
      <c r="X262" t="s">
        <v>43</v>
      </c>
      <c r="Y262" t="s">
        <v>43</v>
      </c>
      <c r="Z262" t="s">
        <v>43</v>
      </c>
      <c r="AA262" t="s">
        <v>43</v>
      </c>
      <c r="AB262" s="2" t="s">
        <v>43</v>
      </c>
      <c r="AC262" t="s">
        <v>46</v>
      </c>
      <c r="AD262" t="s">
        <v>64</v>
      </c>
      <c r="AE262" t="s">
        <v>46</v>
      </c>
      <c r="AF262" t="s">
        <v>46</v>
      </c>
      <c r="AG262" t="s">
        <v>64</v>
      </c>
      <c r="AH262" s="2" t="s">
        <v>43</v>
      </c>
    </row>
    <row r="263" spans="1:34" ht="285">
      <c r="A263" s="6" t="s">
        <v>356</v>
      </c>
      <c r="B263" s="7">
        <v>46086</v>
      </c>
      <c r="C263" s="9" t="str">
        <f>HYPERLINK("https://eping.wto.org/en/Search?viewData= G/SPS/N/EU/925"," G/SPS/N/EU/925")</f>
        <v xml:space="preserve"> G/SPS/N/EU/925</v>
      </c>
      <c r="D263" s="8" t="s">
        <v>1368</v>
      </c>
      <c r="E263" s="8" t="s">
        <v>1369</v>
      </c>
      <c r="F263" s="8" t="s">
        <v>1370</v>
      </c>
      <c r="G263" s="8" t="s">
        <v>43</v>
      </c>
      <c r="H263" s="8" t="s">
        <v>43</v>
      </c>
      <c r="I263" s="8" t="s">
        <v>58</v>
      </c>
      <c r="J263" s="8" t="s">
        <v>43</v>
      </c>
      <c r="K263" s="8" t="s">
        <v>310</v>
      </c>
      <c r="L263" s="6"/>
      <c r="M263" s="7" t="s">
        <v>43</v>
      </c>
      <c r="N263" s="7">
        <v>46050</v>
      </c>
      <c r="O263" s="7" t="s">
        <v>1371</v>
      </c>
      <c r="P263" s="6" t="s">
        <v>62</v>
      </c>
      <c r="Q263" s="8" t="s">
        <v>1372</v>
      </c>
      <c r="R263" t="str">
        <f>HYPERLINK("https://docs.wto.org/imrd/directdoc.asp?DDFDocuments/t/G/SPS/NEU925.docx", "https://docs.wto.org/imrd/directdoc.asp?DDFDocuments/t/G/SPS/NEU925.docx")</f>
        <v>https://docs.wto.org/imrd/directdoc.asp?DDFDocuments/t/G/SPS/NEU925.docx</v>
      </c>
      <c r="S263" t="str">
        <f>HYPERLINK("https://docs.wto.org/imrd/directdoc.asp?DDFDocuments/u/G/SPS/NEU925.docx", "https://docs.wto.org/imrd/directdoc.asp?DDFDocuments/u/G/SPS/NEU925.docx")</f>
        <v>https://docs.wto.org/imrd/directdoc.asp?DDFDocuments/u/G/SPS/NEU925.docx</v>
      </c>
      <c r="T263" t="str">
        <f>HYPERLINK("https://docs.wto.org/imrd/directdoc.asp?DDFDocuments/v/G/SPS/NEU925.docx", "https://docs.wto.org/imrd/directdoc.asp?DDFDocuments/v/G/SPS/NEU925.docx")</f>
        <v>https://docs.wto.org/imrd/directdoc.asp?DDFDocuments/v/G/SPS/NEU925.docx</v>
      </c>
      <c r="U263" t="s">
        <v>43</v>
      </c>
      <c r="V263" t="s">
        <v>43</v>
      </c>
      <c r="W263" t="s">
        <v>43</v>
      </c>
      <c r="X263" t="s">
        <v>43</v>
      </c>
      <c r="Y263" t="s">
        <v>43</v>
      </c>
      <c r="Z263" t="s">
        <v>43</v>
      </c>
      <c r="AA263" t="s">
        <v>43</v>
      </c>
      <c r="AB263" s="2" t="s">
        <v>43</v>
      </c>
      <c r="AC263" t="s">
        <v>64</v>
      </c>
      <c r="AD263" t="s">
        <v>46</v>
      </c>
      <c r="AE263" t="s">
        <v>46</v>
      </c>
      <c r="AF263" t="s">
        <v>46</v>
      </c>
      <c r="AG263" t="s">
        <v>46</v>
      </c>
      <c r="AH263" s="2" t="s">
        <v>1373</v>
      </c>
    </row>
    <row r="264" spans="1:34" ht="270">
      <c r="A264" s="6" t="s">
        <v>209</v>
      </c>
      <c r="B264" s="7">
        <v>46086</v>
      </c>
      <c r="C264" s="9" t="str">
        <f>HYPERLINK("https://eping.wto.org/en/Search?viewData= G/SPS/N/RUS/351"," G/SPS/N/RUS/351")</f>
        <v xml:space="preserve"> G/SPS/N/RUS/351</v>
      </c>
      <c r="D264" s="8" t="s">
        <v>1374</v>
      </c>
      <c r="E264" s="8" t="s">
        <v>1375</v>
      </c>
      <c r="F264" s="8" t="s">
        <v>1376</v>
      </c>
      <c r="G264" s="8" t="s">
        <v>213</v>
      </c>
      <c r="H264" s="8" t="s">
        <v>43</v>
      </c>
      <c r="I264" s="8" t="s">
        <v>104</v>
      </c>
      <c r="J264" s="8" t="s">
        <v>43</v>
      </c>
      <c r="K264" s="8" t="s">
        <v>1377</v>
      </c>
      <c r="L264" s="6" t="s">
        <v>1378</v>
      </c>
      <c r="M264" s="7" t="s">
        <v>43</v>
      </c>
      <c r="N264" s="7"/>
      <c r="O264" s="7">
        <v>46079</v>
      </c>
      <c r="P264" s="6" t="s">
        <v>107</v>
      </c>
      <c r="Q264" s="8" t="s">
        <v>1379</v>
      </c>
      <c r="R264" t="str">
        <f>HYPERLINK("https://docs.wto.org/imrd/directdoc.asp?DDFDocuments/t/G/SPS/NRUS351.docx", "https://docs.wto.org/imrd/directdoc.asp?DDFDocuments/t/G/SPS/NRUS351.docx")</f>
        <v>https://docs.wto.org/imrd/directdoc.asp?DDFDocuments/t/G/SPS/NRUS351.docx</v>
      </c>
      <c r="S264" t="str">
        <f>HYPERLINK("https://docs.wto.org/imrd/directdoc.asp?DDFDocuments/u/G/SPS/NRUS351.docx", "https://docs.wto.org/imrd/directdoc.asp?DDFDocuments/u/G/SPS/NRUS351.docx")</f>
        <v>https://docs.wto.org/imrd/directdoc.asp?DDFDocuments/u/G/SPS/NRUS351.docx</v>
      </c>
      <c r="T264" t="str">
        <f>HYPERLINK("https://docs.wto.org/imrd/directdoc.asp?DDFDocuments/v/G/SPS/NRUS351.docx", "https://docs.wto.org/imrd/directdoc.asp?DDFDocuments/v/G/SPS/NRUS351.docx")</f>
        <v>https://docs.wto.org/imrd/directdoc.asp?DDFDocuments/v/G/SPS/NRUS351.docx</v>
      </c>
      <c r="U264" t="s">
        <v>43</v>
      </c>
      <c r="V264" t="s">
        <v>43</v>
      </c>
      <c r="W264" t="s">
        <v>43</v>
      </c>
      <c r="X264" t="s">
        <v>43</v>
      </c>
      <c r="Y264" t="s">
        <v>43</v>
      </c>
      <c r="Z264" t="s">
        <v>43</v>
      </c>
      <c r="AA264" t="s">
        <v>43</v>
      </c>
      <c r="AB264" s="2" t="s">
        <v>43</v>
      </c>
      <c r="AC264" t="s">
        <v>46</v>
      </c>
      <c r="AD264" t="s">
        <v>64</v>
      </c>
      <c r="AE264" t="s">
        <v>46</v>
      </c>
      <c r="AF264" t="s">
        <v>46</v>
      </c>
      <c r="AG264" t="s">
        <v>64</v>
      </c>
      <c r="AH264" s="2" t="s">
        <v>43</v>
      </c>
    </row>
    <row r="265" spans="1:34" ht="390">
      <c r="A265" s="6" t="s">
        <v>158</v>
      </c>
      <c r="B265" s="7">
        <v>46086</v>
      </c>
      <c r="C265" s="9" t="str">
        <f>HYPERLINK("https://eping.wto.org/en/Search?viewData= G/TBT/N/UKR/373"," G/TBT/N/UKR/373")</f>
        <v xml:space="preserve"> G/TBT/N/UKR/373</v>
      </c>
      <c r="D265" s="8" t="s">
        <v>1281</v>
      </c>
      <c r="E265" s="8" t="s">
        <v>1380</v>
      </c>
      <c r="F265" s="8" t="s">
        <v>1283</v>
      </c>
      <c r="G265" s="8" t="s">
        <v>1381</v>
      </c>
      <c r="H265" s="8" t="s">
        <v>442</v>
      </c>
      <c r="I265" s="8" t="s">
        <v>1286</v>
      </c>
      <c r="J265" s="8" t="s">
        <v>43</v>
      </c>
      <c r="K265" s="8" t="s">
        <v>350</v>
      </c>
      <c r="L265" s="6"/>
      <c r="M265" s="7">
        <v>46116</v>
      </c>
      <c r="N265" s="7">
        <v>46071</v>
      </c>
      <c r="O265" s="7">
        <v>46079</v>
      </c>
      <c r="P265" s="6" t="s">
        <v>62</v>
      </c>
      <c r="Q265" s="8" t="s">
        <v>1382</v>
      </c>
      <c r="R265" t="str">
        <f>HYPERLINK("https://docs.wto.org/imrd/directdoc.asp?DDFDocuments/t/G/TBTN26/UKR373.docx", "https://docs.wto.org/imrd/directdoc.asp?DDFDocuments/t/G/TBTN26/UKR373.docx")</f>
        <v>https://docs.wto.org/imrd/directdoc.asp?DDFDocuments/t/G/TBTN26/UKR373.docx</v>
      </c>
      <c r="S265" t="str">
        <f>HYPERLINK("https://docs.wto.org/imrd/directdoc.asp?DDFDocuments/u/G/TBTN26/UKR373.docx", "https://docs.wto.org/imrd/directdoc.asp?DDFDocuments/u/G/TBTN26/UKR373.docx")</f>
        <v>https://docs.wto.org/imrd/directdoc.asp?DDFDocuments/u/G/TBTN26/UKR373.docx</v>
      </c>
      <c r="T265" t="str">
        <f>HYPERLINK("https://docs.wto.org/imrd/directdoc.asp?DDFDocuments/v/G/TBTN26/UKR373.docx", "https://docs.wto.org/imrd/directdoc.asp?DDFDocuments/v/G/TBTN26/UKR373.docx")</f>
        <v>https://docs.wto.org/imrd/directdoc.asp?DDFDocuments/v/G/TBTN26/UKR373.docx</v>
      </c>
      <c r="U265" t="s">
        <v>64</v>
      </c>
      <c r="V265" t="s">
        <v>46</v>
      </c>
      <c r="W265" t="s">
        <v>64</v>
      </c>
      <c r="X265" t="s">
        <v>46</v>
      </c>
      <c r="Y265" t="s">
        <v>46</v>
      </c>
      <c r="Z265" t="s">
        <v>46</v>
      </c>
      <c r="AA265" t="s">
        <v>46</v>
      </c>
      <c r="AB265" s="2" t="s">
        <v>1383</v>
      </c>
      <c r="AC265" t="s">
        <v>43</v>
      </c>
      <c r="AD265" t="s">
        <v>43</v>
      </c>
      <c r="AE265" t="s">
        <v>43</v>
      </c>
      <c r="AF265" t="s">
        <v>43</v>
      </c>
      <c r="AG265" t="s">
        <v>43</v>
      </c>
      <c r="AH265" s="2" t="s">
        <v>43</v>
      </c>
    </row>
    <row r="266" spans="1:34" ht="75">
      <c r="A266" s="6" t="s">
        <v>108</v>
      </c>
      <c r="B266" s="7">
        <v>46085</v>
      </c>
      <c r="C266" s="9" t="str">
        <f>HYPERLINK("https://eping.wto.org/en/Search?viewData= G/TBT/N/BDI/723, G/TBT/N/KEN/1996, G/TBT/N/RWA/1365, G/TBT/N/TZA/1509, G/TBT/N/UGA/2322"," G/TBT/N/BDI/723, G/TBT/N/KEN/1996, G/TBT/N/RWA/1365, G/TBT/N/TZA/1509, G/TBT/N/UGA/2322")</f>
        <v xml:space="preserve"> G/TBT/N/BDI/723, G/TBT/N/KEN/1996, G/TBT/N/RWA/1365, G/TBT/N/TZA/1509, G/TBT/N/UGA/2322</v>
      </c>
      <c r="D266" s="8" t="s">
        <v>1384</v>
      </c>
      <c r="E266" s="8" t="s">
        <v>1385</v>
      </c>
      <c r="F266" s="8" t="s">
        <v>1386</v>
      </c>
      <c r="G266" s="8" t="s">
        <v>43</v>
      </c>
      <c r="H266" s="8" t="s">
        <v>1387</v>
      </c>
      <c r="I266" s="8" t="s">
        <v>1388</v>
      </c>
      <c r="J266" s="8" t="s">
        <v>43</v>
      </c>
      <c r="K266" s="8" t="s">
        <v>43</v>
      </c>
      <c r="L266" s="6"/>
      <c r="M266" s="7">
        <v>46145</v>
      </c>
      <c r="N266" s="7">
        <v>46203</v>
      </c>
      <c r="O266" s="7" t="s">
        <v>79</v>
      </c>
      <c r="P266" s="6" t="s">
        <v>62</v>
      </c>
      <c r="Q266" s="8" t="s">
        <v>1389</v>
      </c>
      <c r="R266" t="str">
        <f>HYPERLINK("https://docs.wto.org/imrd/directdoc.asp?DDFDocuments/t/G/TBTN26/BDI723.docx", "https://docs.wto.org/imrd/directdoc.asp?DDFDocuments/t/G/TBTN26/BDI723.docx")</f>
        <v>https://docs.wto.org/imrd/directdoc.asp?DDFDocuments/t/G/TBTN26/BDI723.docx</v>
      </c>
      <c r="S266" t="str">
        <f>HYPERLINK("https://docs.wto.org/imrd/directdoc.asp?DDFDocuments/u/G/TBTN26/BDI723.docx", "https://docs.wto.org/imrd/directdoc.asp?DDFDocuments/u/G/TBTN26/BDI723.docx")</f>
        <v>https://docs.wto.org/imrd/directdoc.asp?DDFDocuments/u/G/TBTN26/BDI723.docx</v>
      </c>
      <c r="T266" t="str">
        <f>HYPERLINK("https://docs.wto.org/imrd/directdoc.asp?DDFDocuments/v/G/TBTN26/BDI723.docx", "https://docs.wto.org/imrd/directdoc.asp?DDFDocuments/v/G/TBTN26/BDI723.docx")</f>
        <v>https://docs.wto.org/imrd/directdoc.asp?DDFDocuments/v/G/TBTN26/BDI723.docx</v>
      </c>
      <c r="U266" t="s">
        <v>64</v>
      </c>
      <c r="V266" t="s">
        <v>46</v>
      </c>
      <c r="W266" t="s">
        <v>46</v>
      </c>
      <c r="X266" t="s">
        <v>46</v>
      </c>
      <c r="Y266" t="s">
        <v>46</v>
      </c>
      <c r="Z266" t="s">
        <v>46</v>
      </c>
      <c r="AA266" t="s">
        <v>46</v>
      </c>
      <c r="AB266" s="2" t="s">
        <v>1390</v>
      </c>
      <c r="AC266" t="s">
        <v>43</v>
      </c>
      <c r="AD266" t="s">
        <v>43</v>
      </c>
      <c r="AE266" t="s">
        <v>43</v>
      </c>
      <c r="AF266" t="s">
        <v>43</v>
      </c>
      <c r="AG266" t="s">
        <v>43</v>
      </c>
      <c r="AH266" s="2" t="s">
        <v>43</v>
      </c>
    </row>
    <row r="267" spans="1:34" ht="135">
      <c r="A267" s="6" t="s">
        <v>82</v>
      </c>
      <c r="B267" s="7">
        <v>46085</v>
      </c>
      <c r="C267" s="9" t="str">
        <f>HYPERLINK("https://eping.wto.org/en/Search?viewData= G/SPS/N/JPN/1378/Add.1"," G/SPS/N/JPN/1378/Add.1")</f>
        <v xml:space="preserve"> G/SPS/N/JPN/1378/Add.1</v>
      </c>
      <c r="D267" s="8" t="s">
        <v>1391</v>
      </c>
      <c r="E267" s="8" t="s">
        <v>1392</v>
      </c>
      <c r="F267" s="8" t="s">
        <v>1393</v>
      </c>
      <c r="G267" s="8" t="s">
        <v>1394</v>
      </c>
      <c r="H267" s="8" t="s">
        <v>43</v>
      </c>
      <c r="I267" s="8" t="s">
        <v>104</v>
      </c>
      <c r="J267" s="8" t="s">
        <v>43</v>
      </c>
      <c r="K267" s="8" t="s">
        <v>1395</v>
      </c>
      <c r="L267" s="6"/>
      <c r="M267" s="7" t="s">
        <v>43</v>
      </c>
      <c r="N267" s="7"/>
      <c r="O267" s="7"/>
      <c r="P267" s="6" t="s">
        <v>44</v>
      </c>
      <c r="Q267" s="6"/>
      <c r="R267" t="str">
        <f>HYPERLINK("https://docs.wto.org/imrd/directdoc.asp?DDFDocuments/t/G/SPS/NJPN1378A1.docx", "https://docs.wto.org/imrd/directdoc.asp?DDFDocuments/t/G/SPS/NJPN1378A1.docx")</f>
        <v>https://docs.wto.org/imrd/directdoc.asp?DDFDocuments/t/G/SPS/NJPN1378A1.docx</v>
      </c>
      <c r="S267" t="str">
        <f>HYPERLINK("https://docs.wto.org/imrd/directdoc.asp?DDFDocuments/u/G/SPS/NJPN1378A1.docx", "https://docs.wto.org/imrd/directdoc.asp?DDFDocuments/u/G/SPS/NJPN1378A1.docx")</f>
        <v>https://docs.wto.org/imrd/directdoc.asp?DDFDocuments/u/G/SPS/NJPN1378A1.docx</v>
      </c>
      <c r="T267" t="str">
        <f>HYPERLINK("https://docs.wto.org/imrd/directdoc.asp?DDFDocuments/v/G/SPS/NJPN1378A1.docx", "https://docs.wto.org/imrd/directdoc.asp?DDFDocuments/v/G/SPS/NJPN1378A1.docx")</f>
        <v>https://docs.wto.org/imrd/directdoc.asp?DDFDocuments/v/G/SPS/NJPN1378A1.docx</v>
      </c>
      <c r="U267" t="s">
        <v>43</v>
      </c>
      <c r="V267" t="s">
        <v>43</v>
      </c>
      <c r="W267" t="s">
        <v>43</v>
      </c>
      <c r="X267" t="s">
        <v>43</v>
      </c>
      <c r="Y267" t="s">
        <v>43</v>
      </c>
      <c r="Z267" t="s">
        <v>43</v>
      </c>
      <c r="AA267" t="s">
        <v>43</v>
      </c>
      <c r="AB267" s="2" t="s">
        <v>43</v>
      </c>
      <c r="AC267" t="s">
        <v>43</v>
      </c>
      <c r="AD267" t="s">
        <v>43</v>
      </c>
      <c r="AE267" t="s">
        <v>43</v>
      </c>
      <c r="AF267" t="s">
        <v>43</v>
      </c>
      <c r="AG267" t="s">
        <v>43</v>
      </c>
      <c r="AH267" s="2" t="s">
        <v>43</v>
      </c>
    </row>
    <row r="268" spans="1:34" ht="45">
      <c r="A268" s="6" t="s">
        <v>289</v>
      </c>
      <c r="B268" s="7">
        <v>46085</v>
      </c>
      <c r="C268" s="9" t="str">
        <f>HYPERLINK("https://eping.wto.org/en/Search?viewData= G/TBT/N/BRA/1624"," G/TBT/N/BRA/1624")</f>
        <v xml:space="preserve"> G/TBT/N/BRA/1624</v>
      </c>
      <c r="D268" s="8" t="s">
        <v>1396</v>
      </c>
      <c r="E268" s="8" t="s">
        <v>1397</v>
      </c>
      <c r="F268" s="8" t="s">
        <v>1398</v>
      </c>
      <c r="G268" s="8" t="s">
        <v>1399</v>
      </c>
      <c r="H268" s="8" t="s">
        <v>1400</v>
      </c>
      <c r="I268" s="8" t="s">
        <v>129</v>
      </c>
      <c r="J268" s="8" t="s">
        <v>43</v>
      </c>
      <c r="K268" s="8" t="s">
        <v>43</v>
      </c>
      <c r="L268" s="6"/>
      <c r="M268" s="7">
        <v>46144</v>
      </c>
      <c r="N268" s="7" t="s">
        <v>79</v>
      </c>
      <c r="O268" s="7" t="s">
        <v>79</v>
      </c>
      <c r="P268" s="6" t="s">
        <v>62</v>
      </c>
      <c r="Q268" s="8" t="s">
        <v>1401</v>
      </c>
      <c r="R268" t="str">
        <f>HYPERLINK("https://docs.wto.org/imrd/directdoc.asp?DDFDocuments/t/G/TBTN26/BRA1624.docx", "https://docs.wto.org/imrd/directdoc.asp?DDFDocuments/t/G/TBTN26/BRA1624.docx")</f>
        <v>https://docs.wto.org/imrd/directdoc.asp?DDFDocuments/t/G/TBTN26/BRA1624.docx</v>
      </c>
      <c r="S268" t="str">
        <f>HYPERLINK("https://docs.wto.org/imrd/directdoc.asp?DDFDocuments/u/G/TBTN26/BRA1624.docx", "https://docs.wto.org/imrd/directdoc.asp?DDFDocuments/u/G/TBTN26/BRA1624.docx")</f>
        <v>https://docs.wto.org/imrd/directdoc.asp?DDFDocuments/u/G/TBTN26/BRA1624.docx</v>
      </c>
      <c r="T268" t="str">
        <f>HYPERLINK("https://docs.wto.org/imrd/directdoc.asp?DDFDocuments/v/G/TBTN26/BRA1624.docx", "https://docs.wto.org/imrd/directdoc.asp?DDFDocuments/v/G/TBTN26/BRA1624.docx")</f>
        <v>https://docs.wto.org/imrd/directdoc.asp?DDFDocuments/v/G/TBTN26/BRA1624.docx</v>
      </c>
      <c r="U268" t="s">
        <v>64</v>
      </c>
      <c r="V268" t="s">
        <v>46</v>
      </c>
      <c r="W268" t="s">
        <v>46</v>
      </c>
      <c r="X268" t="s">
        <v>46</v>
      </c>
      <c r="Y268" t="s">
        <v>46</v>
      </c>
      <c r="Z268" t="s">
        <v>46</v>
      </c>
      <c r="AA268" t="s">
        <v>46</v>
      </c>
      <c r="AB268" s="2" t="s">
        <v>43</v>
      </c>
      <c r="AC268" t="s">
        <v>43</v>
      </c>
      <c r="AD268" t="s">
        <v>43</v>
      </c>
      <c r="AE268" t="s">
        <v>43</v>
      </c>
      <c r="AF268" t="s">
        <v>43</v>
      </c>
      <c r="AG268" t="s">
        <v>43</v>
      </c>
      <c r="AH268" s="2" t="s">
        <v>43</v>
      </c>
    </row>
    <row r="269" spans="1:34" ht="60">
      <c r="A269" s="6" t="s">
        <v>892</v>
      </c>
      <c r="B269" s="7">
        <v>46085</v>
      </c>
      <c r="C269" s="9" t="str">
        <f>HYPERLINK("https://eping.wto.org/en/Search?viewData= G/SPS/N/PAN/114"," G/SPS/N/PAN/114")</f>
        <v xml:space="preserve"> G/SPS/N/PAN/114</v>
      </c>
      <c r="D269" s="8" t="s">
        <v>1402</v>
      </c>
      <c r="E269" s="8" t="s">
        <v>1403</v>
      </c>
      <c r="F269" s="8" t="s">
        <v>1404</v>
      </c>
      <c r="G269" s="8" t="s">
        <v>1405</v>
      </c>
      <c r="H269" s="8" t="s">
        <v>1406</v>
      </c>
      <c r="I269" s="8" t="s">
        <v>1090</v>
      </c>
      <c r="J269" s="8" t="s">
        <v>43</v>
      </c>
      <c r="K269" s="8" t="s">
        <v>157</v>
      </c>
      <c r="L269" s="6" t="s">
        <v>43</v>
      </c>
      <c r="M269" s="7">
        <v>46145</v>
      </c>
      <c r="N269" s="7" t="s">
        <v>79</v>
      </c>
      <c r="O269" s="7" t="s">
        <v>79</v>
      </c>
      <c r="P269" s="6" t="s">
        <v>62</v>
      </c>
      <c r="Q269" s="8" t="s">
        <v>1407</v>
      </c>
      <c r="R269" t="str">
        <f>HYPERLINK("https://docs.wto.org/imrd/directdoc.asp?DDFDocuments/t/G/SPS/NPAN114.docx", "https://docs.wto.org/imrd/directdoc.asp?DDFDocuments/t/G/SPS/NPAN114.docx")</f>
        <v>https://docs.wto.org/imrd/directdoc.asp?DDFDocuments/t/G/SPS/NPAN114.docx</v>
      </c>
      <c r="S269" t="str">
        <f>HYPERLINK("https://docs.wto.org/imrd/directdoc.asp?DDFDocuments/u/G/SPS/NPAN114.docx", "https://docs.wto.org/imrd/directdoc.asp?DDFDocuments/u/G/SPS/NPAN114.docx")</f>
        <v>https://docs.wto.org/imrd/directdoc.asp?DDFDocuments/u/G/SPS/NPAN114.docx</v>
      </c>
      <c r="T269" t="str">
        <f>HYPERLINK("https://docs.wto.org/imrd/directdoc.asp?DDFDocuments/v/G/SPS/NPAN114.docx", "https://docs.wto.org/imrd/directdoc.asp?DDFDocuments/v/G/SPS/NPAN114.docx")</f>
        <v>https://docs.wto.org/imrd/directdoc.asp?DDFDocuments/v/G/SPS/NPAN114.docx</v>
      </c>
      <c r="U269" t="s">
        <v>43</v>
      </c>
      <c r="V269" t="s">
        <v>43</v>
      </c>
      <c r="W269" t="s">
        <v>43</v>
      </c>
      <c r="X269" t="s">
        <v>43</v>
      </c>
      <c r="Y269" t="s">
        <v>43</v>
      </c>
      <c r="Z269" t="s">
        <v>43</v>
      </c>
      <c r="AA269" t="s">
        <v>43</v>
      </c>
      <c r="AB269" s="2" t="s">
        <v>43</v>
      </c>
      <c r="AC269" t="s">
        <v>64</v>
      </c>
      <c r="AD269" t="s">
        <v>46</v>
      </c>
      <c r="AE269" t="s">
        <v>46</v>
      </c>
      <c r="AF269" t="s">
        <v>46</v>
      </c>
      <c r="AG269" t="s">
        <v>64</v>
      </c>
      <c r="AH269" s="2" t="s">
        <v>1408</v>
      </c>
    </row>
    <row r="270" spans="1:34" ht="30">
      <c r="A270" s="6" t="s">
        <v>892</v>
      </c>
      <c r="B270" s="7">
        <v>46085</v>
      </c>
      <c r="C270" s="9" t="str">
        <f>HYPERLINK("https://eping.wto.org/en/Search?viewData= G/SPS/N/PAN/115"," G/SPS/N/PAN/115")</f>
        <v xml:space="preserve"> G/SPS/N/PAN/115</v>
      </c>
      <c r="D270" s="8" t="s">
        <v>1409</v>
      </c>
      <c r="E270" s="8" t="s">
        <v>1410</v>
      </c>
      <c r="F270" s="8" t="s">
        <v>1411</v>
      </c>
      <c r="G270" s="8" t="s">
        <v>458</v>
      </c>
      <c r="H270" s="8" t="s">
        <v>459</v>
      </c>
      <c r="I270" s="8" t="s">
        <v>1090</v>
      </c>
      <c r="J270" s="8" t="s">
        <v>43</v>
      </c>
      <c r="K270" s="8" t="s">
        <v>310</v>
      </c>
      <c r="L270" s="6" t="s">
        <v>43</v>
      </c>
      <c r="M270" s="7">
        <v>46145</v>
      </c>
      <c r="N270" s="7" t="s">
        <v>79</v>
      </c>
      <c r="O270" s="7" t="s">
        <v>79</v>
      </c>
      <c r="P270" s="6" t="s">
        <v>62</v>
      </c>
      <c r="Q270" s="8" t="s">
        <v>1412</v>
      </c>
      <c r="R270" t="str">
        <f>HYPERLINK("https://docs.wto.org/imrd/directdoc.asp?DDFDocuments/t/G/SPS/NPAN115.docx", "https://docs.wto.org/imrd/directdoc.asp?DDFDocuments/t/G/SPS/NPAN115.docx")</f>
        <v>https://docs.wto.org/imrd/directdoc.asp?DDFDocuments/t/G/SPS/NPAN115.docx</v>
      </c>
      <c r="S270" t="str">
        <f>HYPERLINK("https://docs.wto.org/imrd/directdoc.asp?DDFDocuments/u/G/SPS/NPAN115.docx", "https://docs.wto.org/imrd/directdoc.asp?DDFDocuments/u/G/SPS/NPAN115.docx")</f>
        <v>https://docs.wto.org/imrd/directdoc.asp?DDFDocuments/u/G/SPS/NPAN115.docx</v>
      </c>
      <c r="T270" t="str">
        <f>HYPERLINK("https://docs.wto.org/imrd/directdoc.asp?DDFDocuments/v/G/SPS/NPAN115.docx", "https://docs.wto.org/imrd/directdoc.asp?DDFDocuments/v/G/SPS/NPAN115.docx")</f>
        <v>https://docs.wto.org/imrd/directdoc.asp?DDFDocuments/v/G/SPS/NPAN115.docx</v>
      </c>
      <c r="U270" t="s">
        <v>43</v>
      </c>
      <c r="V270" t="s">
        <v>43</v>
      </c>
      <c r="W270" t="s">
        <v>43</v>
      </c>
      <c r="X270" t="s">
        <v>43</v>
      </c>
      <c r="Y270" t="s">
        <v>43</v>
      </c>
      <c r="Z270" t="s">
        <v>43</v>
      </c>
      <c r="AA270" t="s">
        <v>43</v>
      </c>
      <c r="AB270" s="2" t="s">
        <v>43</v>
      </c>
      <c r="AC270" t="s">
        <v>64</v>
      </c>
      <c r="AD270" t="s">
        <v>46</v>
      </c>
      <c r="AE270" t="s">
        <v>46</v>
      </c>
      <c r="AF270" t="s">
        <v>46</v>
      </c>
      <c r="AG270" t="s">
        <v>64</v>
      </c>
      <c r="AH270" s="2" t="s">
        <v>43</v>
      </c>
    </row>
    <row r="271" spans="1:34" ht="75">
      <c r="A271" s="6" t="s">
        <v>509</v>
      </c>
      <c r="B271" s="7">
        <v>46085</v>
      </c>
      <c r="C271" s="9" t="str">
        <f>HYPERLINK("https://eping.wto.org/en/Search?viewData= G/TBT/N/BDI/723, G/TBT/N/KEN/1996, G/TBT/N/RWA/1365, G/TBT/N/TZA/1509, G/TBT/N/UGA/2322"," G/TBT/N/BDI/723, G/TBT/N/KEN/1996, G/TBT/N/RWA/1365, G/TBT/N/TZA/1509, G/TBT/N/UGA/2322")</f>
        <v xml:space="preserve"> G/TBT/N/BDI/723, G/TBT/N/KEN/1996, G/TBT/N/RWA/1365, G/TBT/N/TZA/1509, G/TBT/N/UGA/2322</v>
      </c>
      <c r="D271" s="8" t="s">
        <v>1384</v>
      </c>
      <c r="E271" s="8" t="s">
        <v>1385</v>
      </c>
      <c r="F271" s="8" t="s">
        <v>1386</v>
      </c>
      <c r="G271" s="8" t="s">
        <v>43</v>
      </c>
      <c r="H271" s="8" t="s">
        <v>1387</v>
      </c>
      <c r="I271" s="8" t="s">
        <v>1388</v>
      </c>
      <c r="J271" s="8" t="s">
        <v>43</v>
      </c>
      <c r="K271" s="8" t="s">
        <v>43</v>
      </c>
      <c r="L271" s="6"/>
      <c r="M271" s="7">
        <v>46145</v>
      </c>
      <c r="N271" s="7">
        <v>46203</v>
      </c>
      <c r="O271" s="7" t="s">
        <v>79</v>
      </c>
      <c r="P271" s="6" t="s">
        <v>62</v>
      </c>
      <c r="Q271" s="8" t="s">
        <v>1389</v>
      </c>
      <c r="R271" t="str">
        <f>HYPERLINK("https://docs.wto.org/imrd/directdoc.asp?DDFDocuments/t/G/TBTN26/BDI723.docx", "https://docs.wto.org/imrd/directdoc.asp?DDFDocuments/t/G/TBTN26/BDI723.docx")</f>
        <v>https://docs.wto.org/imrd/directdoc.asp?DDFDocuments/t/G/TBTN26/BDI723.docx</v>
      </c>
      <c r="S271" t="str">
        <f>HYPERLINK("https://docs.wto.org/imrd/directdoc.asp?DDFDocuments/u/G/TBTN26/BDI723.docx", "https://docs.wto.org/imrd/directdoc.asp?DDFDocuments/u/G/TBTN26/BDI723.docx")</f>
        <v>https://docs.wto.org/imrd/directdoc.asp?DDFDocuments/u/G/TBTN26/BDI723.docx</v>
      </c>
      <c r="T271" t="str">
        <f>HYPERLINK("https://docs.wto.org/imrd/directdoc.asp?DDFDocuments/v/G/TBTN26/BDI723.docx", "https://docs.wto.org/imrd/directdoc.asp?DDFDocuments/v/G/TBTN26/BDI723.docx")</f>
        <v>https://docs.wto.org/imrd/directdoc.asp?DDFDocuments/v/G/TBTN26/BDI723.docx</v>
      </c>
      <c r="U271" t="s">
        <v>64</v>
      </c>
      <c r="V271" t="s">
        <v>46</v>
      </c>
      <c r="W271" t="s">
        <v>46</v>
      </c>
      <c r="X271" t="s">
        <v>46</v>
      </c>
      <c r="Y271" t="s">
        <v>46</v>
      </c>
      <c r="Z271" t="s">
        <v>46</v>
      </c>
      <c r="AA271" t="s">
        <v>46</v>
      </c>
      <c r="AB271" s="2" t="s">
        <v>1390</v>
      </c>
      <c r="AC271" t="s">
        <v>43</v>
      </c>
      <c r="AD271" t="s">
        <v>43</v>
      </c>
      <c r="AE271" t="s">
        <v>43</v>
      </c>
      <c r="AF271" t="s">
        <v>43</v>
      </c>
      <c r="AG271" t="s">
        <v>43</v>
      </c>
      <c r="AH271" s="2" t="s">
        <v>43</v>
      </c>
    </row>
    <row r="272" spans="1:34" ht="45">
      <c r="A272" s="6" t="s">
        <v>577</v>
      </c>
      <c r="B272" s="7">
        <v>46085</v>
      </c>
      <c r="C272" s="9" t="str">
        <f>HYPERLINK("https://eping.wto.org/en/Search?viewData= G/TBT/N/BDI/720, G/TBT/N/KEN/1993, G/TBT/N/RWA/1362, G/TBT/N/TZA/1506, G/TBT/N/UGA/2319"," G/TBT/N/BDI/720, G/TBT/N/KEN/1993, G/TBT/N/RWA/1362, G/TBT/N/TZA/1506, G/TBT/N/UGA/2319")</f>
        <v xml:space="preserve"> G/TBT/N/BDI/720, G/TBT/N/KEN/1993, G/TBT/N/RWA/1362, G/TBT/N/TZA/1506, G/TBT/N/UGA/2319</v>
      </c>
      <c r="D272" s="8" t="s">
        <v>1413</v>
      </c>
      <c r="E272" s="8" t="s">
        <v>1414</v>
      </c>
      <c r="F272" s="8" t="s">
        <v>1415</v>
      </c>
      <c r="G272" s="8" t="s">
        <v>43</v>
      </c>
      <c r="H272" s="8" t="s">
        <v>1416</v>
      </c>
      <c r="I272" s="8" t="s">
        <v>1388</v>
      </c>
      <c r="J272" s="8" t="s">
        <v>43</v>
      </c>
      <c r="K272" s="8" t="s">
        <v>43</v>
      </c>
      <c r="L272" s="6"/>
      <c r="M272" s="7">
        <v>46145</v>
      </c>
      <c r="N272" s="7">
        <v>46203</v>
      </c>
      <c r="O272" s="7" t="s">
        <v>79</v>
      </c>
      <c r="P272" s="6" t="s">
        <v>62</v>
      </c>
      <c r="Q272" s="8" t="s">
        <v>1417</v>
      </c>
      <c r="R272" t="str">
        <f>HYPERLINK("https://docs.wto.org/imrd/directdoc.asp?DDFDocuments/t/G/TBTN26/BDI720.docx", "https://docs.wto.org/imrd/directdoc.asp?DDFDocuments/t/G/TBTN26/BDI720.docx")</f>
        <v>https://docs.wto.org/imrd/directdoc.asp?DDFDocuments/t/G/TBTN26/BDI720.docx</v>
      </c>
      <c r="S272" t="str">
        <f>HYPERLINK("https://docs.wto.org/imrd/directdoc.asp?DDFDocuments/u/G/TBTN26/BDI720.docx", "https://docs.wto.org/imrd/directdoc.asp?DDFDocuments/u/G/TBTN26/BDI720.docx")</f>
        <v>https://docs.wto.org/imrd/directdoc.asp?DDFDocuments/u/G/TBTN26/BDI720.docx</v>
      </c>
      <c r="T272" t="str">
        <f>HYPERLINK("https://docs.wto.org/imrd/directdoc.asp?DDFDocuments/v/G/TBTN26/BDI720.docx", "https://docs.wto.org/imrd/directdoc.asp?DDFDocuments/v/G/TBTN26/BDI720.docx")</f>
        <v>https://docs.wto.org/imrd/directdoc.asp?DDFDocuments/v/G/TBTN26/BDI720.docx</v>
      </c>
      <c r="U272" t="s">
        <v>64</v>
      </c>
      <c r="V272" t="s">
        <v>46</v>
      </c>
      <c r="W272" t="s">
        <v>46</v>
      </c>
      <c r="X272" t="s">
        <v>46</v>
      </c>
      <c r="Y272" t="s">
        <v>46</v>
      </c>
      <c r="Z272" t="s">
        <v>46</v>
      </c>
      <c r="AA272" t="s">
        <v>46</v>
      </c>
      <c r="AB272" s="2" t="s">
        <v>1418</v>
      </c>
      <c r="AC272" t="s">
        <v>43</v>
      </c>
      <c r="AD272" t="s">
        <v>43</v>
      </c>
      <c r="AE272" t="s">
        <v>43</v>
      </c>
      <c r="AF272" t="s">
        <v>43</v>
      </c>
      <c r="AG272" t="s">
        <v>43</v>
      </c>
      <c r="AH272" s="2" t="s">
        <v>43</v>
      </c>
    </row>
    <row r="273" spans="1:34" ht="45">
      <c r="A273" s="6" t="s">
        <v>124</v>
      </c>
      <c r="B273" s="7">
        <v>46085</v>
      </c>
      <c r="C273" s="9" t="str">
        <f>HYPERLINK("https://eping.wto.org/en/Search?viewData= G/TBT/N/BDI/720, G/TBT/N/KEN/1993, G/TBT/N/RWA/1362, G/TBT/N/TZA/1506, G/TBT/N/UGA/2319"," G/TBT/N/BDI/720, G/TBT/N/KEN/1993, G/TBT/N/RWA/1362, G/TBT/N/TZA/1506, G/TBT/N/UGA/2319")</f>
        <v xml:space="preserve"> G/TBT/N/BDI/720, G/TBT/N/KEN/1993, G/TBT/N/RWA/1362, G/TBT/N/TZA/1506, G/TBT/N/UGA/2319</v>
      </c>
      <c r="D273" s="8" t="s">
        <v>1413</v>
      </c>
      <c r="E273" s="8" t="s">
        <v>1414</v>
      </c>
      <c r="F273" s="8" t="s">
        <v>1415</v>
      </c>
      <c r="G273" s="8" t="s">
        <v>43</v>
      </c>
      <c r="H273" s="8" t="s">
        <v>1416</v>
      </c>
      <c r="I273" s="8" t="s">
        <v>1388</v>
      </c>
      <c r="J273" s="8" t="s">
        <v>43</v>
      </c>
      <c r="K273" s="8" t="s">
        <v>43</v>
      </c>
      <c r="L273" s="6"/>
      <c r="M273" s="7">
        <v>46145</v>
      </c>
      <c r="N273" s="7">
        <v>46203</v>
      </c>
      <c r="O273" s="7" t="s">
        <v>79</v>
      </c>
      <c r="P273" s="6" t="s">
        <v>62</v>
      </c>
      <c r="Q273" s="8" t="s">
        <v>1417</v>
      </c>
      <c r="R273" t="str">
        <f>HYPERLINK("https://docs.wto.org/imrd/directdoc.asp?DDFDocuments/t/G/TBTN26/BDI720.docx", "https://docs.wto.org/imrd/directdoc.asp?DDFDocuments/t/G/TBTN26/BDI720.docx")</f>
        <v>https://docs.wto.org/imrd/directdoc.asp?DDFDocuments/t/G/TBTN26/BDI720.docx</v>
      </c>
      <c r="S273" t="str">
        <f>HYPERLINK("https://docs.wto.org/imrd/directdoc.asp?DDFDocuments/u/G/TBTN26/BDI720.docx", "https://docs.wto.org/imrd/directdoc.asp?DDFDocuments/u/G/TBTN26/BDI720.docx")</f>
        <v>https://docs.wto.org/imrd/directdoc.asp?DDFDocuments/u/G/TBTN26/BDI720.docx</v>
      </c>
      <c r="T273" t="str">
        <f>HYPERLINK("https://docs.wto.org/imrd/directdoc.asp?DDFDocuments/v/G/TBTN26/BDI720.docx", "https://docs.wto.org/imrd/directdoc.asp?DDFDocuments/v/G/TBTN26/BDI720.docx")</f>
        <v>https://docs.wto.org/imrd/directdoc.asp?DDFDocuments/v/G/TBTN26/BDI720.docx</v>
      </c>
      <c r="U273" t="s">
        <v>64</v>
      </c>
      <c r="V273" t="s">
        <v>46</v>
      </c>
      <c r="W273" t="s">
        <v>46</v>
      </c>
      <c r="X273" t="s">
        <v>46</v>
      </c>
      <c r="Y273" t="s">
        <v>46</v>
      </c>
      <c r="Z273" t="s">
        <v>46</v>
      </c>
      <c r="AA273" t="s">
        <v>46</v>
      </c>
      <c r="AB273" s="2" t="s">
        <v>1418</v>
      </c>
      <c r="AC273" t="s">
        <v>43</v>
      </c>
      <c r="AD273" t="s">
        <v>43</v>
      </c>
      <c r="AE273" t="s">
        <v>43</v>
      </c>
      <c r="AF273" t="s">
        <v>43</v>
      </c>
      <c r="AG273" t="s">
        <v>43</v>
      </c>
      <c r="AH273" s="2" t="s">
        <v>43</v>
      </c>
    </row>
    <row r="274" spans="1:34" ht="30">
      <c r="A274" s="6" t="s">
        <v>390</v>
      </c>
      <c r="B274" s="7">
        <v>46085</v>
      </c>
      <c r="C274" s="9" t="str">
        <f>HYPERLINK("https://eping.wto.org/en/Search?viewData= G/TBT/N/BDI/721, G/TBT/N/KEN/1994, G/TBT/N/RWA/1363, G/TBT/N/TZA/1507, G/TBT/N/UGA/2320"," G/TBT/N/BDI/721, G/TBT/N/KEN/1994, G/TBT/N/RWA/1363, G/TBT/N/TZA/1507, G/TBT/N/UGA/2320")</f>
        <v xml:space="preserve"> G/TBT/N/BDI/721, G/TBT/N/KEN/1994, G/TBT/N/RWA/1363, G/TBT/N/TZA/1507, G/TBT/N/UGA/2320</v>
      </c>
      <c r="D274" s="8" t="s">
        <v>1419</v>
      </c>
      <c r="E274" s="8" t="s">
        <v>1420</v>
      </c>
      <c r="F274" s="8" t="s">
        <v>1386</v>
      </c>
      <c r="G274" s="8" t="s">
        <v>43</v>
      </c>
      <c r="H274" s="8" t="s">
        <v>1387</v>
      </c>
      <c r="I274" s="8" t="s">
        <v>1388</v>
      </c>
      <c r="J274" s="8" t="s">
        <v>43</v>
      </c>
      <c r="K274" s="8" t="s">
        <v>43</v>
      </c>
      <c r="L274" s="6"/>
      <c r="M274" s="7">
        <v>46145</v>
      </c>
      <c r="N274" s="7">
        <v>46203</v>
      </c>
      <c r="O274" s="7" t="s">
        <v>79</v>
      </c>
      <c r="P274" s="6" t="s">
        <v>62</v>
      </c>
      <c r="Q274" s="8" t="s">
        <v>1421</v>
      </c>
      <c r="R274" t="str">
        <f>HYPERLINK("https://docs.wto.org/imrd/directdoc.asp?DDFDocuments/t/G/TBTN26/BDI721.docx", "https://docs.wto.org/imrd/directdoc.asp?DDFDocuments/t/G/TBTN26/BDI721.docx")</f>
        <v>https://docs.wto.org/imrd/directdoc.asp?DDFDocuments/t/G/TBTN26/BDI721.docx</v>
      </c>
      <c r="S274" t="str">
        <f>HYPERLINK("https://docs.wto.org/imrd/directdoc.asp?DDFDocuments/u/G/TBTN26/BDI721.docx", "https://docs.wto.org/imrd/directdoc.asp?DDFDocuments/u/G/TBTN26/BDI721.docx")</f>
        <v>https://docs.wto.org/imrd/directdoc.asp?DDFDocuments/u/G/TBTN26/BDI721.docx</v>
      </c>
      <c r="T274" t="str">
        <f>HYPERLINK("https://docs.wto.org/imrd/directdoc.asp?DDFDocuments/v/G/TBTN26/BDI721.docx", "https://docs.wto.org/imrd/directdoc.asp?DDFDocuments/v/G/TBTN26/BDI721.docx")</f>
        <v>https://docs.wto.org/imrd/directdoc.asp?DDFDocuments/v/G/TBTN26/BDI721.docx</v>
      </c>
      <c r="U274" t="s">
        <v>64</v>
      </c>
      <c r="V274" t="s">
        <v>46</v>
      </c>
      <c r="W274" t="s">
        <v>46</v>
      </c>
      <c r="X274" t="s">
        <v>46</v>
      </c>
      <c r="Y274" t="s">
        <v>46</v>
      </c>
      <c r="Z274" t="s">
        <v>46</v>
      </c>
      <c r="AA274" t="s">
        <v>46</v>
      </c>
      <c r="AB274" s="2" t="s">
        <v>1422</v>
      </c>
      <c r="AC274" t="s">
        <v>43</v>
      </c>
      <c r="AD274" t="s">
        <v>43</v>
      </c>
      <c r="AE274" t="s">
        <v>43</v>
      </c>
      <c r="AF274" t="s">
        <v>43</v>
      </c>
      <c r="AG274" t="s">
        <v>43</v>
      </c>
      <c r="AH274" s="2" t="s">
        <v>43</v>
      </c>
    </row>
    <row r="275" spans="1:34" ht="75">
      <c r="A275" s="6" t="s">
        <v>577</v>
      </c>
      <c r="B275" s="7">
        <v>46085</v>
      </c>
      <c r="C275" s="9" t="str">
        <f>HYPERLINK("https://eping.wto.org/en/Search?viewData= G/TBT/N/BDI/723, G/TBT/N/KEN/1996, G/TBT/N/RWA/1365, G/TBT/N/TZA/1509, G/TBT/N/UGA/2322"," G/TBT/N/BDI/723, G/TBT/N/KEN/1996, G/TBT/N/RWA/1365, G/TBT/N/TZA/1509, G/TBT/N/UGA/2322")</f>
        <v xml:space="preserve"> G/TBT/N/BDI/723, G/TBT/N/KEN/1996, G/TBT/N/RWA/1365, G/TBT/N/TZA/1509, G/TBT/N/UGA/2322</v>
      </c>
      <c r="D275" s="8" t="s">
        <v>1384</v>
      </c>
      <c r="E275" s="8" t="s">
        <v>1385</v>
      </c>
      <c r="F275" s="8" t="s">
        <v>1386</v>
      </c>
      <c r="G275" s="8" t="s">
        <v>43</v>
      </c>
      <c r="H275" s="8" t="s">
        <v>1387</v>
      </c>
      <c r="I275" s="8" t="s">
        <v>1388</v>
      </c>
      <c r="J275" s="8" t="s">
        <v>43</v>
      </c>
      <c r="K275" s="8" t="s">
        <v>43</v>
      </c>
      <c r="L275" s="6"/>
      <c r="M275" s="7">
        <v>46145</v>
      </c>
      <c r="N275" s="7">
        <v>46203</v>
      </c>
      <c r="O275" s="7" t="s">
        <v>79</v>
      </c>
      <c r="P275" s="6" t="s">
        <v>62</v>
      </c>
      <c r="Q275" s="8" t="s">
        <v>1389</v>
      </c>
      <c r="R275" t="str">
        <f>HYPERLINK("https://docs.wto.org/imrd/directdoc.asp?DDFDocuments/t/G/TBTN26/BDI723.docx", "https://docs.wto.org/imrd/directdoc.asp?DDFDocuments/t/G/TBTN26/BDI723.docx")</f>
        <v>https://docs.wto.org/imrd/directdoc.asp?DDFDocuments/t/G/TBTN26/BDI723.docx</v>
      </c>
      <c r="S275" t="str">
        <f>HYPERLINK("https://docs.wto.org/imrd/directdoc.asp?DDFDocuments/u/G/TBTN26/BDI723.docx", "https://docs.wto.org/imrd/directdoc.asp?DDFDocuments/u/G/TBTN26/BDI723.docx")</f>
        <v>https://docs.wto.org/imrd/directdoc.asp?DDFDocuments/u/G/TBTN26/BDI723.docx</v>
      </c>
      <c r="T275" t="str">
        <f>HYPERLINK("https://docs.wto.org/imrd/directdoc.asp?DDFDocuments/v/G/TBTN26/BDI723.docx", "https://docs.wto.org/imrd/directdoc.asp?DDFDocuments/v/G/TBTN26/BDI723.docx")</f>
        <v>https://docs.wto.org/imrd/directdoc.asp?DDFDocuments/v/G/TBTN26/BDI723.docx</v>
      </c>
      <c r="U275" t="s">
        <v>64</v>
      </c>
      <c r="V275" t="s">
        <v>46</v>
      </c>
      <c r="W275" t="s">
        <v>46</v>
      </c>
      <c r="X275" t="s">
        <v>46</v>
      </c>
      <c r="Y275" t="s">
        <v>46</v>
      </c>
      <c r="Z275" t="s">
        <v>46</v>
      </c>
      <c r="AA275" t="s">
        <v>46</v>
      </c>
      <c r="AB275" s="2" t="s">
        <v>1390</v>
      </c>
      <c r="AC275" t="s">
        <v>43</v>
      </c>
      <c r="AD275" t="s">
        <v>43</v>
      </c>
      <c r="AE275" t="s">
        <v>43</v>
      </c>
      <c r="AF275" t="s">
        <v>43</v>
      </c>
      <c r="AG275" t="s">
        <v>43</v>
      </c>
      <c r="AH275" s="2" t="s">
        <v>43</v>
      </c>
    </row>
    <row r="276" spans="1:34" ht="60">
      <c r="A276" s="6" t="s">
        <v>82</v>
      </c>
      <c r="B276" s="7">
        <v>46085</v>
      </c>
      <c r="C276" s="9" t="str">
        <f>HYPERLINK("https://eping.wto.org/en/Search?viewData= G/TBT/N/JPN/903"," G/TBT/N/JPN/903")</f>
        <v xml:space="preserve"> G/TBT/N/JPN/903</v>
      </c>
      <c r="D276" s="8" t="s">
        <v>1423</v>
      </c>
      <c r="E276" s="8" t="s">
        <v>1424</v>
      </c>
      <c r="F276" s="8" t="s">
        <v>1425</v>
      </c>
      <c r="G276" s="8" t="s">
        <v>1426</v>
      </c>
      <c r="H276" s="8" t="s">
        <v>1427</v>
      </c>
      <c r="I276" s="8" t="s">
        <v>52</v>
      </c>
      <c r="J276" s="8" t="s">
        <v>1428</v>
      </c>
      <c r="K276" s="8" t="s">
        <v>350</v>
      </c>
      <c r="L276" s="6"/>
      <c r="M276" s="7" t="s">
        <v>43</v>
      </c>
      <c r="N276" s="7">
        <v>46085</v>
      </c>
      <c r="O276" s="7">
        <v>46095</v>
      </c>
      <c r="P276" s="6" t="s">
        <v>62</v>
      </c>
      <c r="Q276" s="8" t="s">
        <v>1429</v>
      </c>
      <c r="R276" t="str">
        <f>HYPERLINK("https://docs.wto.org/imrd/directdoc.asp?DDFDocuments/t/G/TBTN26/JPN903.docx", "https://docs.wto.org/imrd/directdoc.asp?DDFDocuments/t/G/TBTN26/JPN903.docx")</f>
        <v>https://docs.wto.org/imrd/directdoc.asp?DDFDocuments/t/G/TBTN26/JPN903.docx</v>
      </c>
      <c r="S276" t="str">
        <f>HYPERLINK("https://docs.wto.org/imrd/directdoc.asp?DDFDocuments/u/G/TBTN26/JPN903.docx", "https://docs.wto.org/imrd/directdoc.asp?DDFDocuments/u/G/TBTN26/JPN903.docx")</f>
        <v>https://docs.wto.org/imrd/directdoc.asp?DDFDocuments/u/G/TBTN26/JPN903.docx</v>
      </c>
      <c r="T276" t="str">
        <f>HYPERLINK("https://docs.wto.org/imrd/directdoc.asp?DDFDocuments/v/G/TBTN26/JPN903.docx", "https://docs.wto.org/imrd/directdoc.asp?DDFDocuments/v/G/TBTN26/JPN903.docx")</f>
        <v>https://docs.wto.org/imrd/directdoc.asp?DDFDocuments/v/G/TBTN26/JPN903.docx</v>
      </c>
      <c r="U276" t="s">
        <v>46</v>
      </c>
      <c r="V276" t="s">
        <v>64</v>
      </c>
      <c r="W276" t="s">
        <v>46</v>
      </c>
      <c r="X276" t="s">
        <v>46</v>
      </c>
      <c r="Y276" t="s">
        <v>46</v>
      </c>
      <c r="Z276" t="s">
        <v>46</v>
      </c>
      <c r="AA276" t="s">
        <v>46</v>
      </c>
      <c r="AB276" s="2" t="s">
        <v>1430</v>
      </c>
      <c r="AC276" t="s">
        <v>43</v>
      </c>
      <c r="AD276" t="s">
        <v>43</v>
      </c>
      <c r="AE276" t="s">
        <v>43</v>
      </c>
      <c r="AF276" t="s">
        <v>43</v>
      </c>
      <c r="AG276" t="s">
        <v>43</v>
      </c>
      <c r="AH276" s="2" t="s">
        <v>43</v>
      </c>
    </row>
    <row r="277" spans="1:34" ht="45">
      <c r="A277" s="6" t="s">
        <v>509</v>
      </c>
      <c r="B277" s="7">
        <v>46085</v>
      </c>
      <c r="C277" s="9" t="str">
        <f>HYPERLINK("https://eping.wto.org/en/Search?viewData= G/TBT/N/BDI/722, G/TBT/N/KEN/1995, G/TBT/N/RWA/1364, G/TBT/N/TZA/1508, G/TBT/N/UGA/2321"," G/TBT/N/BDI/722, G/TBT/N/KEN/1995, G/TBT/N/RWA/1364, G/TBT/N/TZA/1508, G/TBT/N/UGA/2321")</f>
        <v xml:space="preserve"> G/TBT/N/BDI/722, G/TBT/N/KEN/1995, G/TBT/N/RWA/1364, G/TBT/N/TZA/1508, G/TBT/N/UGA/2321</v>
      </c>
      <c r="D277" s="8" t="s">
        <v>1431</v>
      </c>
      <c r="E277" s="8" t="s">
        <v>1432</v>
      </c>
      <c r="F277" s="8" t="s">
        <v>1433</v>
      </c>
      <c r="G277" s="8" t="s">
        <v>43</v>
      </c>
      <c r="H277" s="8" t="s">
        <v>1434</v>
      </c>
      <c r="I277" s="8" t="s">
        <v>1388</v>
      </c>
      <c r="J277" s="8" t="s">
        <v>43</v>
      </c>
      <c r="K277" s="8" t="s">
        <v>43</v>
      </c>
      <c r="L277" s="6"/>
      <c r="M277" s="7">
        <v>46145</v>
      </c>
      <c r="N277" s="7">
        <v>46203</v>
      </c>
      <c r="O277" s="7" t="s">
        <v>79</v>
      </c>
      <c r="P277" s="6" t="s">
        <v>62</v>
      </c>
      <c r="Q277" s="8" t="s">
        <v>1435</v>
      </c>
      <c r="R277" t="str">
        <f>HYPERLINK("https://docs.wto.org/imrd/directdoc.asp?DDFDocuments/t/G/TBTN26/BDI722.docx", "https://docs.wto.org/imrd/directdoc.asp?DDFDocuments/t/G/TBTN26/BDI722.docx")</f>
        <v>https://docs.wto.org/imrd/directdoc.asp?DDFDocuments/t/G/TBTN26/BDI722.docx</v>
      </c>
      <c r="S277" t="str">
        <f>HYPERLINK("https://docs.wto.org/imrd/directdoc.asp?DDFDocuments/u/G/TBTN26/BDI722.docx", "https://docs.wto.org/imrd/directdoc.asp?DDFDocuments/u/G/TBTN26/BDI722.docx")</f>
        <v>https://docs.wto.org/imrd/directdoc.asp?DDFDocuments/u/G/TBTN26/BDI722.docx</v>
      </c>
      <c r="T277" t="str">
        <f>HYPERLINK("https://docs.wto.org/imrd/directdoc.asp?DDFDocuments/v/G/TBTN26/BDI722.docx", "https://docs.wto.org/imrd/directdoc.asp?DDFDocuments/v/G/TBTN26/BDI722.docx")</f>
        <v>https://docs.wto.org/imrd/directdoc.asp?DDFDocuments/v/G/TBTN26/BDI722.docx</v>
      </c>
      <c r="U277" t="s">
        <v>64</v>
      </c>
      <c r="V277" t="s">
        <v>46</v>
      </c>
      <c r="W277" t="s">
        <v>46</v>
      </c>
      <c r="X277" t="s">
        <v>46</v>
      </c>
      <c r="Y277" t="s">
        <v>46</v>
      </c>
      <c r="Z277" t="s">
        <v>46</v>
      </c>
      <c r="AA277" t="s">
        <v>46</v>
      </c>
      <c r="AB277" s="2" t="s">
        <v>1436</v>
      </c>
      <c r="AC277" t="s">
        <v>43</v>
      </c>
      <c r="AD277" t="s">
        <v>43</v>
      </c>
      <c r="AE277" t="s">
        <v>43</v>
      </c>
      <c r="AF277" t="s">
        <v>43</v>
      </c>
      <c r="AG277" t="s">
        <v>43</v>
      </c>
      <c r="AH277" s="2" t="s">
        <v>43</v>
      </c>
    </row>
    <row r="278" spans="1:34" ht="75">
      <c r="A278" s="6" t="s">
        <v>390</v>
      </c>
      <c r="B278" s="7">
        <v>46085</v>
      </c>
      <c r="C278" s="9" t="str">
        <f>HYPERLINK("https://eping.wto.org/en/Search?viewData= G/TBT/N/BDI/723, G/TBT/N/KEN/1996, G/TBT/N/RWA/1365, G/TBT/N/TZA/1509, G/TBT/N/UGA/2322"," G/TBT/N/BDI/723, G/TBT/N/KEN/1996, G/TBT/N/RWA/1365, G/TBT/N/TZA/1509, G/TBT/N/UGA/2322")</f>
        <v xml:space="preserve"> G/TBT/N/BDI/723, G/TBT/N/KEN/1996, G/TBT/N/RWA/1365, G/TBT/N/TZA/1509, G/TBT/N/UGA/2322</v>
      </c>
      <c r="D278" s="8" t="s">
        <v>1384</v>
      </c>
      <c r="E278" s="8" t="s">
        <v>1385</v>
      </c>
      <c r="F278" s="8" t="s">
        <v>1386</v>
      </c>
      <c r="G278" s="8" t="s">
        <v>43</v>
      </c>
      <c r="H278" s="8" t="s">
        <v>1387</v>
      </c>
      <c r="I278" s="8" t="s">
        <v>1388</v>
      </c>
      <c r="J278" s="8" t="s">
        <v>43</v>
      </c>
      <c r="K278" s="8" t="s">
        <v>43</v>
      </c>
      <c r="L278" s="6"/>
      <c r="M278" s="7">
        <v>46145</v>
      </c>
      <c r="N278" s="7">
        <v>46203</v>
      </c>
      <c r="O278" s="7" t="s">
        <v>79</v>
      </c>
      <c r="P278" s="6" t="s">
        <v>62</v>
      </c>
      <c r="Q278" s="8" t="s">
        <v>1389</v>
      </c>
      <c r="R278" t="str">
        <f>HYPERLINK("https://docs.wto.org/imrd/directdoc.asp?DDFDocuments/t/G/TBTN26/BDI723.docx", "https://docs.wto.org/imrd/directdoc.asp?DDFDocuments/t/G/TBTN26/BDI723.docx")</f>
        <v>https://docs.wto.org/imrd/directdoc.asp?DDFDocuments/t/G/TBTN26/BDI723.docx</v>
      </c>
      <c r="S278" t="str">
        <f>HYPERLINK("https://docs.wto.org/imrd/directdoc.asp?DDFDocuments/u/G/TBTN26/BDI723.docx", "https://docs.wto.org/imrd/directdoc.asp?DDFDocuments/u/G/TBTN26/BDI723.docx")</f>
        <v>https://docs.wto.org/imrd/directdoc.asp?DDFDocuments/u/G/TBTN26/BDI723.docx</v>
      </c>
      <c r="T278" t="str">
        <f>HYPERLINK("https://docs.wto.org/imrd/directdoc.asp?DDFDocuments/v/G/TBTN26/BDI723.docx", "https://docs.wto.org/imrd/directdoc.asp?DDFDocuments/v/G/TBTN26/BDI723.docx")</f>
        <v>https://docs.wto.org/imrd/directdoc.asp?DDFDocuments/v/G/TBTN26/BDI723.docx</v>
      </c>
      <c r="U278" t="s">
        <v>64</v>
      </c>
      <c r="V278" t="s">
        <v>46</v>
      </c>
      <c r="W278" t="s">
        <v>46</v>
      </c>
      <c r="X278" t="s">
        <v>46</v>
      </c>
      <c r="Y278" t="s">
        <v>46</v>
      </c>
      <c r="Z278" t="s">
        <v>46</v>
      </c>
      <c r="AA278" t="s">
        <v>46</v>
      </c>
      <c r="AB278" s="2" t="s">
        <v>1390</v>
      </c>
      <c r="AC278" t="s">
        <v>43</v>
      </c>
      <c r="AD278" t="s">
        <v>43</v>
      </c>
      <c r="AE278" t="s">
        <v>43</v>
      </c>
      <c r="AF278" t="s">
        <v>43</v>
      </c>
      <c r="AG278" t="s">
        <v>43</v>
      </c>
      <c r="AH278" s="2" t="s">
        <v>43</v>
      </c>
    </row>
    <row r="279" spans="1:34" ht="45">
      <c r="A279" s="6" t="s">
        <v>289</v>
      </c>
      <c r="B279" s="7">
        <v>46085</v>
      </c>
      <c r="C279" s="9" t="str">
        <f>HYPERLINK("https://eping.wto.org/en/Search?viewData= G/TBT/N/BRA/1623"," G/TBT/N/BRA/1623")</f>
        <v xml:space="preserve"> G/TBT/N/BRA/1623</v>
      </c>
      <c r="D279" s="8" t="s">
        <v>1437</v>
      </c>
      <c r="E279" s="8" t="s">
        <v>1438</v>
      </c>
      <c r="F279" s="8" t="s">
        <v>1398</v>
      </c>
      <c r="G279" s="8" t="s">
        <v>1399</v>
      </c>
      <c r="H279" s="8" t="s">
        <v>1400</v>
      </c>
      <c r="I279" s="8" t="s">
        <v>129</v>
      </c>
      <c r="J279" s="8" t="s">
        <v>43</v>
      </c>
      <c r="K279" s="8" t="s">
        <v>43</v>
      </c>
      <c r="L279" s="6"/>
      <c r="M279" s="7">
        <v>46148</v>
      </c>
      <c r="N279" s="7" t="s">
        <v>79</v>
      </c>
      <c r="O279" s="7" t="s">
        <v>79</v>
      </c>
      <c r="P279" s="6" t="s">
        <v>62</v>
      </c>
      <c r="Q279" s="8" t="s">
        <v>1439</v>
      </c>
      <c r="R279" t="str">
        <f>HYPERLINK("https://docs.wto.org/imrd/directdoc.asp?DDFDocuments/t/G/TBTN26/BRA1623.docx", "https://docs.wto.org/imrd/directdoc.asp?DDFDocuments/t/G/TBTN26/BRA1623.docx")</f>
        <v>https://docs.wto.org/imrd/directdoc.asp?DDFDocuments/t/G/TBTN26/BRA1623.docx</v>
      </c>
      <c r="S279" t="str">
        <f>HYPERLINK("https://docs.wto.org/imrd/directdoc.asp?DDFDocuments/u/G/TBTN26/BRA1623.docx", "https://docs.wto.org/imrd/directdoc.asp?DDFDocuments/u/G/TBTN26/BRA1623.docx")</f>
        <v>https://docs.wto.org/imrd/directdoc.asp?DDFDocuments/u/G/TBTN26/BRA1623.docx</v>
      </c>
      <c r="T279" t="str">
        <f>HYPERLINK("https://docs.wto.org/imrd/directdoc.asp?DDFDocuments/v/G/TBTN26/BRA1623.docx", "https://docs.wto.org/imrd/directdoc.asp?DDFDocuments/v/G/TBTN26/BRA1623.docx")</f>
        <v>https://docs.wto.org/imrd/directdoc.asp?DDFDocuments/v/G/TBTN26/BRA1623.docx</v>
      </c>
      <c r="U279" t="s">
        <v>64</v>
      </c>
      <c r="V279" t="s">
        <v>46</v>
      </c>
      <c r="W279" t="s">
        <v>46</v>
      </c>
      <c r="X279" t="s">
        <v>46</v>
      </c>
      <c r="Y279" t="s">
        <v>46</v>
      </c>
      <c r="Z279" t="s">
        <v>46</v>
      </c>
      <c r="AA279" t="s">
        <v>46</v>
      </c>
      <c r="AB279" s="2" t="s">
        <v>1440</v>
      </c>
      <c r="AC279" t="s">
        <v>43</v>
      </c>
      <c r="AD279" t="s">
        <v>43</v>
      </c>
      <c r="AE279" t="s">
        <v>43</v>
      </c>
      <c r="AF279" t="s">
        <v>43</v>
      </c>
      <c r="AG279" t="s">
        <v>43</v>
      </c>
      <c r="AH279" s="2" t="s">
        <v>43</v>
      </c>
    </row>
    <row r="280" spans="1:34" ht="45">
      <c r="A280" s="6" t="s">
        <v>108</v>
      </c>
      <c r="B280" s="7">
        <v>46085</v>
      </c>
      <c r="C280" s="9" t="str">
        <f>HYPERLINK("https://eping.wto.org/en/Search?viewData= G/TBT/N/BDI/722, G/TBT/N/KEN/1995, G/TBT/N/RWA/1364, G/TBT/N/TZA/1508, G/TBT/N/UGA/2321"," G/TBT/N/BDI/722, G/TBT/N/KEN/1995, G/TBT/N/RWA/1364, G/TBT/N/TZA/1508, G/TBT/N/UGA/2321")</f>
        <v xml:space="preserve"> G/TBT/N/BDI/722, G/TBT/N/KEN/1995, G/TBT/N/RWA/1364, G/TBT/N/TZA/1508, G/TBT/N/UGA/2321</v>
      </c>
      <c r="D280" s="8" t="s">
        <v>1431</v>
      </c>
      <c r="E280" s="8" t="s">
        <v>1432</v>
      </c>
      <c r="F280" s="8" t="s">
        <v>1433</v>
      </c>
      <c r="G280" s="8" t="s">
        <v>43</v>
      </c>
      <c r="H280" s="8" t="s">
        <v>1434</v>
      </c>
      <c r="I280" s="8" t="s">
        <v>1388</v>
      </c>
      <c r="J280" s="8" t="s">
        <v>43</v>
      </c>
      <c r="K280" s="8" t="s">
        <v>43</v>
      </c>
      <c r="L280" s="6"/>
      <c r="M280" s="7">
        <v>46145</v>
      </c>
      <c r="N280" s="7">
        <v>46203</v>
      </c>
      <c r="O280" s="7" t="s">
        <v>79</v>
      </c>
      <c r="P280" s="6" t="s">
        <v>62</v>
      </c>
      <c r="Q280" s="8" t="s">
        <v>1435</v>
      </c>
      <c r="R280" t="str">
        <f>HYPERLINK("https://docs.wto.org/imrd/directdoc.asp?DDFDocuments/t/G/TBTN26/BDI722.docx", "https://docs.wto.org/imrd/directdoc.asp?DDFDocuments/t/G/TBTN26/BDI722.docx")</f>
        <v>https://docs.wto.org/imrd/directdoc.asp?DDFDocuments/t/G/TBTN26/BDI722.docx</v>
      </c>
      <c r="S280" t="str">
        <f>HYPERLINK("https://docs.wto.org/imrd/directdoc.asp?DDFDocuments/u/G/TBTN26/BDI722.docx", "https://docs.wto.org/imrd/directdoc.asp?DDFDocuments/u/G/TBTN26/BDI722.docx")</f>
        <v>https://docs.wto.org/imrd/directdoc.asp?DDFDocuments/u/G/TBTN26/BDI722.docx</v>
      </c>
      <c r="T280" t="str">
        <f>HYPERLINK("https://docs.wto.org/imrd/directdoc.asp?DDFDocuments/v/G/TBTN26/BDI722.docx", "https://docs.wto.org/imrd/directdoc.asp?DDFDocuments/v/G/TBTN26/BDI722.docx")</f>
        <v>https://docs.wto.org/imrd/directdoc.asp?DDFDocuments/v/G/TBTN26/BDI722.docx</v>
      </c>
      <c r="U280" t="s">
        <v>64</v>
      </c>
      <c r="V280" t="s">
        <v>46</v>
      </c>
      <c r="W280" t="s">
        <v>46</v>
      </c>
      <c r="X280" t="s">
        <v>46</v>
      </c>
      <c r="Y280" t="s">
        <v>46</v>
      </c>
      <c r="Z280" t="s">
        <v>46</v>
      </c>
      <c r="AA280" t="s">
        <v>46</v>
      </c>
      <c r="AB280" s="2" t="s">
        <v>1436</v>
      </c>
      <c r="AC280" t="s">
        <v>43</v>
      </c>
      <c r="AD280" t="s">
        <v>43</v>
      </c>
      <c r="AE280" t="s">
        <v>43</v>
      </c>
      <c r="AF280" t="s">
        <v>43</v>
      </c>
      <c r="AG280" t="s">
        <v>43</v>
      </c>
      <c r="AH280" s="2" t="s">
        <v>43</v>
      </c>
    </row>
    <row r="281" spans="1:34" ht="195">
      <c r="A281" s="6" t="s">
        <v>356</v>
      </c>
      <c r="B281" s="7">
        <v>46085</v>
      </c>
      <c r="C281" s="9" t="str">
        <f>HYPERLINK("https://eping.wto.org/en/Search?viewData= G/SPS/N/EU/924"," G/SPS/N/EU/924")</f>
        <v xml:space="preserve"> G/SPS/N/EU/924</v>
      </c>
      <c r="D281" s="8" t="s">
        <v>1441</v>
      </c>
      <c r="E281" s="8" t="s">
        <v>1442</v>
      </c>
      <c r="F281" s="8" t="s">
        <v>870</v>
      </c>
      <c r="G281" s="8" t="s">
        <v>1443</v>
      </c>
      <c r="H281" s="8" t="s">
        <v>43</v>
      </c>
      <c r="I281" s="8" t="s">
        <v>58</v>
      </c>
      <c r="J281" s="8" t="s">
        <v>43</v>
      </c>
      <c r="K281" s="8" t="s">
        <v>1444</v>
      </c>
      <c r="L281" s="6"/>
      <c r="M281" s="7">
        <v>46145</v>
      </c>
      <c r="N281" s="7">
        <v>46266</v>
      </c>
      <c r="O281" s="7" t="s">
        <v>1445</v>
      </c>
      <c r="P281" s="6" t="s">
        <v>62</v>
      </c>
      <c r="Q281" s="8" t="s">
        <v>1446</v>
      </c>
      <c r="R281" t="str">
        <f>HYPERLINK("https://docs.wto.org/imrd/directdoc.asp?DDFDocuments/t/G/SPS/NEU924.docx", "https://docs.wto.org/imrd/directdoc.asp?DDFDocuments/t/G/SPS/NEU924.docx")</f>
        <v>https://docs.wto.org/imrd/directdoc.asp?DDFDocuments/t/G/SPS/NEU924.docx</v>
      </c>
      <c r="S281" t="str">
        <f>HYPERLINK("https://docs.wto.org/imrd/directdoc.asp?DDFDocuments/u/G/SPS/NEU924.docx", "https://docs.wto.org/imrd/directdoc.asp?DDFDocuments/u/G/SPS/NEU924.docx")</f>
        <v>https://docs.wto.org/imrd/directdoc.asp?DDFDocuments/u/G/SPS/NEU924.docx</v>
      </c>
      <c r="T281" t="str">
        <f>HYPERLINK("https://docs.wto.org/imrd/directdoc.asp?DDFDocuments/v/G/SPS/NEU924.docx", "https://docs.wto.org/imrd/directdoc.asp?DDFDocuments/v/G/SPS/NEU924.docx")</f>
        <v>https://docs.wto.org/imrd/directdoc.asp?DDFDocuments/v/G/SPS/NEU924.docx</v>
      </c>
      <c r="U281" t="s">
        <v>43</v>
      </c>
      <c r="V281" t="s">
        <v>43</v>
      </c>
      <c r="W281" t="s">
        <v>43</v>
      </c>
      <c r="X281" t="s">
        <v>43</v>
      </c>
      <c r="Y281" t="s">
        <v>43</v>
      </c>
      <c r="Z281" t="s">
        <v>43</v>
      </c>
      <c r="AA281" t="s">
        <v>43</v>
      </c>
      <c r="AB281" s="2" t="s">
        <v>43</v>
      </c>
      <c r="AC281" t="s">
        <v>64</v>
      </c>
      <c r="AD281" t="s">
        <v>46</v>
      </c>
      <c r="AE281" t="s">
        <v>46</v>
      </c>
      <c r="AF281" t="s">
        <v>46</v>
      </c>
      <c r="AG281" t="s">
        <v>46</v>
      </c>
      <c r="AH281" s="2" t="s">
        <v>1447</v>
      </c>
    </row>
    <row r="282" spans="1:34" ht="285">
      <c r="A282" s="6" t="s">
        <v>356</v>
      </c>
      <c r="B282" s="7">
        <v>46085</v>
      </c>
      <c r="C282" s="9" t="str">
        <f>HYPERLINK("https://eping.wto.org/en/Search?viewData= G/SPS/N/EU/923"," G/SPS/N/EU/923")</f>
        <v xml:space="preserve"> G/SPS/N/EU/923</v>
      </c>
      <c r="D282" s="8" t="s">
        <v>1448</v>
      </c>
      <c r="E282" s="8" t="s">
        <v>1449</v>
      </c>
      <c r="F282" s="8" t="s">
        <v>1370</v>
      </c>
      <c r="G282" s="8" t="s">
        <v>43</v>
      </c>
      <c r="H282" s="8" t="s">
        <v>43</v>
      </c>
      <c r="I282" s="8" t="s">
        <v>58</v>
      </c>
      <c r="J282" s="8" t="s">
        <v>43</v>
      </c>
      <c r="K282" s="8" t="s">
        <v>310</v>
      </c>
      <c r="L282" s="6"/>
      <c r="M282" s="7">
        <v>46145</v>
      </c>
      <c r="N282" s="7" t="s">
        <v>1450</v>
      </c>
      <c r="O282" s="7" t="s">
        <v>1451</v>
      </c>
      <c r="P282" s="6" t="s">
        <v>62</v>
      </c>
      <c r="Q282" s="8" t="s">
        <v>1452</v>
      </c>
      <c r="R282" t="str">
        <f>HYPERLINK("https://docs.wto.org/imrd/directdoc.asp?DDFDocuments/t/G/SPS/NEU923.docx", "https://docs.wto.org/imrd/directdoc.asp?DDFDocuments/t/G/SPS/NEU923.docx")</f>
        <v>https://docs.wto.org/imrd/directdoc.asp?DDFDocuments/t/G/SPS/NEU923.docx</v>
      </c>
      <c r="S282" t="str">
        <f>HYPERLINK("https://docs.wto.org/imrd/directdoc.asp?DDFDocuments/u/G/SPS/NEU923.docx", "https://docs.wto.org/imrd/directdoc.asp?DDFDocuments/u/G/SPS/NEU923.docx")</f>
        <v>https://docs.wto.org/imrd/directdoc.asp?DDFDocuments/u/G/SPS/NEU923.docx</v>
      </c>
      <c r="T282" t="str">
        <f>HYPERLINK("https://docs.wto.org/imrd/directdoc.asp?DDFDocuments/v/G/SPS/NEU923.docx", "https://docs.wto.org/imrd/directdoc.asp?DDFDocuments/v/G/SPS/NEU923.docx")</f>
        <v>https://docs.wto.org/imrd/directdoc.asp?DDFDocuments/v/G/SPS/NEU923.docx</v>
      </c>
      <c r="U282" t="s">
        <v>43</v>
      </c>
      <c r="V282" t="s">
        <v>43</v>
      </c>
      <c r="W282" t="s">
        <v>43</v>
      </c>
      <c r="X282" t="s">
        <v>43</v>
      </c>
      <c r="Y282" t="s">
        <v>43</v>
      </c>
      <c r="Z282" t="s">
        <v>43</v>
      </c>
      <c r="AA282" t="s">
        <v>43</v>
      </c>
      <c r="AB282" s="2" t="s">
        <v>43</v>
      </c>
      <c r="AC282" t="s">
        <v>46</v>
      </c>
      <c r="AD282" t="s">
        <v>46</v>
      </c>
      <c r="AE282" t="s">
        <v>46</v>
      </c>
      <c r="AF282" t="s">
        <v>64</v>
      </c>
      <c r="AG282" t="s">
        <v>99</v>
      </c>
      <c r="AH282" s="2" t="s">
        <v>43</v>
      </c>
    </row>
    <row r="283" spans="1:34" ht="75">
      <c r="A283" s="6" t="s">
        <v>124</v>
      </c>
      <c r="B283" s="7">
        <v>46085</v>
      </c>
      <c r="C283" s="9" t="str">
        <f>HYPERLINK("https://eping.wto.org/en/Search?viewData= G/TBT/N/BDI/723, G/TBT/N/KEN/1996, G/TBT/N/RWA/1365, G/TBT/N/TZA/1509, G/TBT/N/UGA/2322"," G/TBT/N/BDI/723, G/TBT/N/KEN/1996, G/TBT/N/RWA/1365, G/TBT/N/TZA/1509, G/TBT/N/UGA/2322")</f>
        <v xml:space="preserve"> G/TBT/N/BDI/723, G/TBT/N/KEN/1996, G/TBT/N/RWA/1365, G/TBT/N/TZA/1509, G/TBT/N/UGA/2322</v>
      </c>
      <c r="D283" s="8" t="s">
        <v>1384</v>
      </c>
      <c r="E283" s="8" t="s">
        <v>1385</v>
      </c>
      <c r="F283" s="8" t="s">
        <v>1386</v>
      </c>
      <c r="G283" s="8" t="s">
        <v>43</v>
      </c>
      <c r="H283" s="8" t="s">
        <v>1387</v>
      </c>
      <c r="I283" s="8" t="s">
        <v>1388</v>
      </c>
      <c r="J283" s="8" t="s">
        <v>43</v>
      </c>
      <c r="K283" s="8" t="s">
        <v>43</v>
      </c>
      <c r="L283" s="6"/>
      <c r="M283" s="7">
        <v>46145</v>
      </c>
      <c r="N283" s="7">
        <v>46203</v>
      </c>
      <c r="O283" s="7" t="s">
        <v>79</v>
      </c>
      <c r="P283" s="6" t="s">
        <v>62</v>
      </c>
      <c r="Q283" s="8" t="s">
        <v>1389</v>
      </c>
      <c r="R283" t="str">
        <f>HYPERLINK("https://docs.wto.org/imrd/directdoc.asp?DDFDocuments/t/G/TBTN26/BDI723.docx", "https://docs.wto.org/imrd/directdoc.asp?DDFDocuments/t/G/TBTN26/BDI723.docx")</f>
        <v>https://docs.wto.org/imrd/directdoc.asp?DDFDocuments/t/G/TBTN26/BDI723.docx</v>
      </c>
      <c r="S283" t="str">
        <f>HYPERLINK("https://docs.wto.org/imrd/directdoc.asp?DDFDocuments/u/G/TBTN26/BDI723.docx", "https://docs.wto.org/imrd/directdoc.asp?DDFDocuments/u/G/TBTN26/BDI723.docx")</f>
        <v>https://docs.wto.org/imrd/directdoc.asp?DDFDocuments/u/G/TBTN26/BDI723.docx</v>
      </c>
      <c r="T283" t="str">
        <f>HYPERLINK("https://docs.wto.org/imrd/directdoc.asp?DDFDocuments/v/G/TBTN26/BDI723.docx", "https://docs.wto.org/imrd/directdoc.asp?DDFDocuments/v/G/TBTN26/BDI723.docx")</f>
        <v>https://docs.wto.org/imrd/directdoc.asp?DDFDocuments/v/G/TBTN26/BDI723.docx</v>
      </c>
      <c r="U283" t="s">
        <v>64</v>
      </c>
      <c r="V283" t="s">
        <v>46</v>
      </c>
      <c r="W283" t="s">
        <v>46</v>
      </c>
      <c r="X283" t="s">
        <v>46</v>
      </c>
      <c r="Y283" t="s">
        <v>46</v>
      </c>
      <c r="Z283" t="s">
        <v>46</v>
      </c>
      <c r="AA283" t="s">
        <v>46</v>
      </c>
      <c r="AB283" s="2" t="s">
        <v>1390</v>
      </c>
      <c r="AC283" t="s">
        <v>43</v>
      </c>
      <c r="AD283" t="s">
        <v>43</v>
      </c>
      <c r="AE283" t="s">
        <v>43</v>
      </c>
      <c r="AF283" t="s">
        <v>43</v>
      </c>
      <c r="AG283" t="s">
        <v>43</v>
      </c>
      <c r="AH283" s="2" t="s">
        <v>43</v>
      </c>
    </row>
    <row r="284" spans="1:34" ht="30">
      <c r="A284" s="6" t="s">
        <v>509</v>
      </c>
      <c r="B284" s="7">
        <v>46085</v>
      </c>
      <c r="C284" s="9" t="str">
        <f>HYPERLINK("https://eping.wto.org/en/Search?viewData= G/TBT/N/BDI/721, G/TBT/N/KEN/1994, G/TBT/N/RWA/1363, G/TBT/N/TZA/1507, G/TBT/N/UGA/2320"," G/TBT/N/BDI/721, G/TBT/N/KEN/1994, G/TBT/N/RWA/1363, G/TBT/N/TZA/1507, G/TBT/N/UGA/2320")</f>
        <v xml:space="preserve"> G/TBT/N/BDI/721, G/TBT/N/KEN/1994, G/TBT/N/RWA/1363, G/TBT/N/TZA/1507, G/TBT/N/UGA/2320</v>
      </c>
      <c r="D284" s="8" t="s">
        <v>1419</v>
      </c>
      <c r="E284" s="8" t="s">
        <v>1420</v>
      </c>
      <c r="F284" s="8" t="s">
        <v>1386</v>
      </c>
      <c r="G284" s="8" t="s">
        <v>43</v>
      </c>
      <c r="H284" s="8" t="s">
        <v>1387</v>
      </c>
      <c r="I284" s="8" t="s">
        <v>1388</v>
      </c>
      <c r="J284" s="8" t="s">
        <v>43</v>
      </c>
      <c r="K284" s="8" t="s">
        <v>43</v>
      </c>
      <c r="L284" s="6"/>
      <c r="M284" s="7">
        <v>46145</v>
      </c>
      <c r="N284" s="7">
        <v>46203</v>
      </c>
      <c r="O284" s="7" t="s">
        <v>79</v>
      </c>
      <c r="P284" s="6" t="s">
        <v>62</v>
      </c>
      <c r="Q284" s="8" t="s">
        <v>1421</v>
      </c>
      <c r="R284" t="str">
        <f>HYPERLINK("https://docs.wto.org/imrd/directdoc.asp?DDFDocuments/t/G/TBTN26/BDI721.docx", "https://docs.wto.org/imrd/directdoc.asp?DDFDocuments/t/G/TBTN26/BDI721.docx")</f>
        <v>https://docs.wto.org/imrd/directdoc.asp?DDFDocuments/t/G/TBTN26/BDI721.docx</v>
      </c>
      <c r="S284" t="str">
        <f>HYPERLINK("https://docs.wto.org/imrd/directdoc.asp?DDFDocuments/u/G/TBTN26/BDI721.docx", "https://docs.wto.org/imrd/directdoc.asp?DDFDocuments/u/G/TBTN26/BDI721.docx")</f>
        <v>https://docs.wto.org/imrd/directdoc.asp?DDFDocuments/u/G/TBTN26/BDI721.docx</v>
      </c>
      <c r="T284" t="str">
        <f>HYPERLINK("https://docs.wto.org/imrd/directdoc.asp?DDFDocuments/v/G/TBTN26/BDI721.docx", "https://docs.wto.org/imrd/directdoc.asp?DDFDocuments/v/G/TBTN26/BDI721.docx")</f>
        <v>https://docs.wto.org/imrd/directdoc.asp?DDFDocuments/v/G/TBTN26/BDI721.docx</v>
      </c>
      <c r="U284" t="s">
        <v>64</v>
      </c>
      <c r="V284" t="s">
        <v>46</v>
      </c>
      <c r="W284" t="s">
        <v>46</v>
      </c>
      <c r="X284" t="s">
        <v>46</v>
      </c>
      <c r="Y284" t="s">
        <v>46</v>
      </c>
      <c r="Z284" t="s">
        <v>46</v>
      </c>
      <c r="AA284" t="s">
        <v>46</v>
      </c>
      <c r="AB284" s="2" t="s">
        <v>1422</v>
      </c>
      <c r="AC284" t="s">
        <v>43</v>
      </c>
      <c r="AD284" t="s">
        <v>43</v>
      </c>
      <c r="AE284" t="s">
        <v>43</v>
      </c>
      <c r="AF284" t="s">
        <v>43</v>
      </c>
      <c r="AG284" t="s">
        <v>43</v>
      </c>
      <c r="AH284" s="2" t="s">
        <v>43</v>
      </c>
    </row>
    <row r="285" spans="1:34" ht="45">
      <c r="A285" s="6" t="s">
        <v>108</v>
      </c>
      <c r="B285" s="7">
        <v>46085</v>
      </c>
      <c r="C285" s="9" t="str">
        <f>HYPERLINK("https://eping.wto.org/en/Search?viewData= G/TBT/N/BDI/720, G/TBT/N/KEN/1993, G/TBT/N/RWA/1362, G/TBT/N/TZA/1506, G/TBT/N/UGA/2319"," G/TBT/N/BDI/720, G/TBT/N/KEN/1993, G/TBT/N/RWA/1362, G/TBT/N/TZA/1506, G/TBT/N/UGA/2319")</f>
        <v xml:space="preserve"> G/TBT/N/BDI/720, G/TBT/N/KEN/1993, G/TBT/N/RWA/1362, G/TBT/N/TZA/1506, G/TBT/N/UGA/2319</v>
      </c>
      <c r="D285" s="8" t="s">
        <v>1413</v>
      </c>
      <c r="E285" s="8" t="s">
        <v>1414</v>
      </c>
      <c r="F285" s="8" t="s">
        <v>1415</v>
      </c>
      <c r="G285" s="8" t="s">
        <v>43</v>
      </c>
      <c r="H285" s="8" t="s">
        <v>1416</v>
      </c>
      <c r="I285" s="8" t="s">
        <v>1388</v>
      </c>
      <c r="J285" s="8" t="s">
        <v>43</v>
      </c>
      <c r="K285" s="8" t="s">
        <v>43</v>
      </c>
      <c r="L285" s="6"/>
      <c r="M285" s="7">
        <v>46145</v>
      </c>
      <c r="N285" s="7">
        <v>46203</v>
      </c>
      <c r="O285" s="7" t="s">
        <v>79</v>
      </c>
      <c r="P285" s="6" t="s">
        <v>62</v>
      </c>
      <c r="Q285" s="8" t="s">
        <v>1417</v>
      </c>
      <c r="R285" t="str">
        <f>HYPERLINK("https://docs.wto.org/imrd/directdoc.asp?DDFDocuments/t/G/TBTN26/BDI720.docx", "https://docs.wto.org/imrd/directdoc.asp?DDFDocuments/t/G/TBTN26/BDI720.docx")</f>
        <v>https://docs.wto.org/imrd/directdoc.asp?DDFDocuments/t/G/TBTN26/BDI720.docx</v>
      </c>
      <c r="S285" t="str">
        <f>HYPERLINK("https://docs.wto.org/imrd/directdoc.asp?DDFDocuments/u/G/TBTN26/BDI720.docx", "https://docs.wto.org/imrd/directdoc.asp?DDFDocuments/u/G/TBTN26/BDI720.docx")</f>
        <v>https://docs.wto.org/imrd/directdoc.asp?DDFDocuments/u/G/TBTN26/BDI720.docx</v>
      </c>
      <c r="T285" t="str">
        <f>HYPERLINK("https://docs.wto.org/imrd/directdoc.asp?DDFDocuments/v/G/TBTN26/BDI720.docx", "https://docs.wto.org/imrd/directdoc.asp?DDFDocuments/v/G/TBTN26/BDI720.docx")</f>
        <v>https://docs.wto.org/imrd/directdoc.asp?DDFDocuments/v/G/TBTN26/BDI720.docx</v>
      </c>
      <c r="U285" t="s">
        <v>64</v>
      </c>
      <c r="V285" t="s">
        <v>46</v>
      </c>
      <c r="W285" t="s">
        <v>46</v>
      </c>
      <c r="X285" t="s">
        <v>46</v>
      </c>
      <c r="Y285" t="s">
        <v>46</v>
      </c>
      <c r="Z285" t="s">
        <v>46</v>
      </c>
      <c r="AA285" t="s">
        <v>46</v>
      </c>
      <c r="AB285" s="2" t="s">
        <v>1418</v>
      </c>
      <c r="AC285" t="s">
        <v>43</v>
      </c>
      <c r="AD285" t="s">
        <v>43</v>
      </c>
      <c r="AE285" t="s">
        <v>43</v>
      </c>
      <c r="AF285" t="s">
        <v>43</v>
      </c>
      <c r="AG285" t="s">
        <v>43</v>
      </c>
      <c r="AH285" s="2" t="s">
        <v>43</v>
      </c>
    </row>
    <row r="286" spans="1:34" ht="30">
      <c r="A286" s="6" t="s">
        <v>108</v>
      </c>
      <c r="B286" s="7">
        <v>46085</v>
      </c>
      <c r="C286" s="9" t="str">
        <f>HYPERLINK("https://eping.wto.org/en/Search?viewData= G/TBT/N/BDI/721, G/TBT/N/KEN/1994, G/TBT/N/RWA/1363, G/TBT/N/TZA/1507, G/TBT/N/UGA/2320"," G/TBT/N/BDI/721, G/TBT/N/KEN/1994, G/TBT/N/RWA/1363, G/TBT/N/TZA/1507, G/TBT/N/UGA/2320")</f>
        <v xml:space="preserve"> G/TBT/N/BDI/721, G/TBT/N/KEN/1994, G/TBT/N/RWA/1363, G/TBT/N/TZA/1507, G/TBT/N/UGA/2320</v>
      </c>
      <c r="D286" s="8" t="s">
        <v>1419</v>
      </c>
      <c r="E286" s="8" t="s">
        <v>1420</v>
      </c>
      <c r="F286" s="8" t="s">
        <v>1386</v>
      </c>
      <c r="G286" s="8" t="s">
        <v>43</v>
      </c>
      <c r="H286" s="8" t="s">
        <v>1387</v>
      </c>
      <c r="I286" s="8" t="s">
        <v>1388</v>
      </c>
      <c r="J286" s="8" t="s">
        <v>43</v>
      </c>
      <c r="K286" s="8" t="s">
        <v>43</v>
      </c>
      <c r="L286" s="6"/>
      <c r="M286" s="7">
        <v>46145</v>
      </c>
      <c r="N286" s="7">
        <v>46203</v>
      </c>
      <c r="O286" s="7" t="s">
        <v>79</v>
      </c>
      <c r="P286" s="6" t="s">
        <v>62</v>
      </c>
      <c r="Q286" s="8" t="s">
        <v>1421</v>
      </c>
      <c r="R286" t="str">
        <f>HYPERLINK("https://docs.wto.org/imrd/directdoc.asp?DDFDocuments/t/G/TBTN26/BDI721.docx", "https://docs.wto.org/imrd/directdoc.asp?DDFDocuments/t/G/TBTN26/BDI721.docx")</f>
        <v>https://docs.wto.org/imrd/directdoc.asp?DDFDocuments/t/G/TBTN26/BDI721.docx</v>
      </c>
      <c r="S286" t="str">
        <f>HYPERLINK("https://docs.wto.org/imrd/directdoc.asp?DDFDocuments/u/G/TBTN26/BDI721.docx", "https://docs.wto.org/imrd/directdoc.asp?DDFDocuments/u/G/TBTN26/BDI721.docx")</f>
        <v>https://docs.wto.org/imrd/directdoc.asp?DDFDocuments/u/G/TBTN26/BDI721.docx</v>
      </c>
      <c r="T286" t="str">
        <f>HYPERLINK("https://docs.wto.org/imrd/directdoc.asp?DDFDocuments/v/G/TBTN26/BDI721.docx", "https://docs.wto.org/imrd/directdoc.asp?DDFDocuments/v/G/TBTN26/BDI721.docx")</f>
        <v>https://docs.wto.org/imrd/directdoc.asp?DDFDocuments/v/G/TBTN26/BDI721.docx</v>
      </c>
      <c r="U286" t="s">
        <v>64</v>
      </c>
      <c r="V286" t="s">
        <v>46</v>
      </c>
      <c r="W286" t="s">
        <v>46</v>
      </c>
      <c r="X286" t="s">
        <v>46</v>
      </c>
      <c r="Y286" t="s">
        <v>46</v>
      </c>
      <c r="Z286" t="s">
        <v>46</v>
      </c>
      <c r="AA286" t="s">
        <v>46</v>
      </c>
      <c r="AB286" s="2" t="s">
        <v>1422</v>
      </c>
      <c r="AC286" t="s">
        <v>43</v>
      </c>
      <c r="AD286" t="s">
        <v>43</v>
      </c>
      <c r="AE286" t="s">
        <v>43</v>
      </c>
      <c r="AF286" t="s">
        <v>43</v>
      </c>
      <c r="AG286" t="s">
        <v>43</v>
      </c>
      <c r="AH286" s="2" t="s">
        <v>43</v>
      </c>
    </row>
    <row r="287" spans="1:34" ht="30">
      <c r="A287" s="6" t="s">
        <v>892</v>
      </c>
      <c r="B287" s="7">
        <v>46085</v>
      </c>
      <c r="C287" s="9" t="str">
        <f>HYPERLINK("https://eping.wto.org/en/Search?viewData= G/SPS/N/PAN/116"," G/SPS/N/PAN/116")</f>
        <v xml:space="preserve"> G/SPS/N/PAN/116</v>
      </c>
      <c r="D287" s="8" t="s">
        <v>1453</v>
      </c>
      <c r="E287" s="8" t="s">
        <v>1454</v>
      </c>
      <c r="F287" s="8" t="s">
        <v>1411</v>
      </c>
      <c r="G287" s="8" t="s">
        <v>458</v>
      </c>
      <c r="H287" s="8" t="s">
        <v>459</v>
      </c>
      <c r="I287" s="8" t="s">
        <v>1090</v>
      </c>
      <c r="J287" s="8" t="s">
        <v>43</v>
      </c>
      <c r="K287" s="8" t="s">
        <v>157</v>
      </c>
      <c r="L287" s="6" t="s">
        <v>43</v>
      </c>
      <c r="M287" s="7">
        <v>46145</v>
      </c>
      <c r="N287" s="7" t="s">
        <v>79</v>
      </c>
      <c r="O287" s="7" t="s">
        <v>79</v>
      </c>
      <c r="P287" s="6" t="s">
        <v>62</v>
      </c>
      <c r="Q287" s="8" t="s">
        <v>1455</v>
      </c>
      <c r="R287" t="str">
        <f>HYPERLINK("https://docs.wto.org/imrd/directdoc.asp?DDFDocuments/t/G/SPS/NPAN116.docx", "https://docs.wto.org/imrd/directdoc.asp?DDFDocuments/t/G/SPS/NPAN116.docx")</f>
        <v>https://docs.wto.org/imrd/directdoc.asp?DDFDocuments/t/G/SPS/NPAN116.docx</v>
      </c>
      <c r="S287" t="str">
        <f>HYPERLINK("https://docs.wto.org/imrd/directdoc.asp?DDFDocuments/u/G/SPS/NPAN116.docx", "https://docs.wto.org/imrd/directdoc.asp?DDFDocuments/u/G/SPS/NPAN116.docx")</f>
        <v>https://docs.wto.org/imrd/directdoc.asp?DDFDocuments/u/G/SPS/NPAN116.docx</v>
      </c>
      <c r="T287" t="str">
        <f>HYPERLINK("https://docs.wto.org/imrd/directdoc.asp?DDFDocuments/v/G/SPS/NPAN116.docx", "https://docs.wto.org/imrd/directdoc.asp?DDFDocuments/v/G/SPS/NPAN116.docx")</f>
        <v>https://docs.wto.org/imrd/directdoc.asp?DDFDocuments/v/G/SPS/NPAN116.docx</v>
      </c>
      <c r="U287" t="s">
        <v>43</v>
      </c>
      <c r="V287" t="s">
        <v>43</v>
      </c>
      <c r="W287" t="s">
        <v>43</v>
      </c>
      <c r="X287" t="s">
        <v>43</v>
      </c>
      <c r="Y287" t="s">
        <v>43</v>
      </c>
      <c r="Z287" t="s">
        <v>43</v>
      </c>
      <c r="AA287" t="s">
        <v>43</v>
      </c>
      <c r="AB287" s="2" t="s">
        <v>43</v>
      </c>
      <c r="AC287" t="s">
        <v>64</v>
      </c>
      <c r="AD287" t="s">
        <v>46</v>
      </c>
      <c r="AE287" t="s">
        <v>46</v>
      </c>
      <c r="AF287" t="s">
        <v>46</v>
      </c>
      <c r="AG287" t="s">
        <v>64</v>
      </c>
      <c r="AH287" s="2" t="s">
        <v>1456</v>
      </c>
    </row>
    <row r="288" spans="1:34" ht="45">
      <c r="A288" s="6" t="s">
        <v>577</v>
      </c>
      <c r="B288" s="7">
        <v>46085</v>
      </c>
      <c r="C288" s="9" t="str">
        <f>HYPERLINK("https://eping.wto.org/en/Search?viewData= G/TBT/N/BDI/722, G/TBT/N/KEN/1995, G/TBT/N/RWA/1364, G/TBT/N/TZA/1508, G/TBT/N/UGA/2321"," G/TBT/N/BDI/722, G/TBT/N/KEN/1995, G/TBT/N/RWA/1364, G/TBT/N/TZA/1508, G/TBT/N/UGA/2321")</f>
        <v xml:space="preserve"> G/TBT/N/BDI/722, G/TBT/N/KEN/1995, G/TBT/N/RWA/1364, G/TBT/N/TZA/1508, G/TBT/N/UGA/2321</v>
      </c>
      <c r="D288" s="8" t="s">
        <v>1431</v>
      </c>
      <c r="E288" s="8" t="s">
        <v>1432</v>
      </c>
      <c r="F288" s="8" t="s">
        <v>1433</v>
      </c>
      <c r="G288" s="8" t="s">
        <v>43</v>
      </c>
      <c r="H288" s="8" t="s">
        <v>1434</v>
      </c>
      <c r="I288" s="8" t="s">
        <v>1388</v>
      </c>
      <c r="J288" s="8" t="s">
        <v>43</v>
      </c>
      <c r="K288" s="8" t="s">
        <v>43</v>
      </c>
      <c r="L288" s="6"/>
      <c r="M288" s="7">
        <v>46145</v>
      </c>
      <c r="N288" s="7">
        <v>46203</v>
      </c>
      <c r="O288" s="7" t="s">
        <v>79</v>
      </c>
      <c r="P288" s="6" t="s">
        <v>62</v>
      </c>
      <c r="Q288" s="8" t="s">
        <v>1435</v>
      </c>
      <c r="R288" t="str">
        <f>HYPERLINK("https://docs.wto.org/imrd/directdoc.asp?DDFDocuments/t/G/TBTN26/BDI722.docx", "https://docs.wto.org/imrd/directdoc.asp?DDFDocuments/t/G/TBTN26/BDI722.docx")</f>
        <v>https://docs.wto.org/imrd/directdoc.asp?DDFDocuments/t/G/TBTN26/BDI722.docx</v>
      </c>
      <c r="S288" t="str">
        <f>HYPERLINK("https://docs.wto.org/imrd/directdoc.asp?DDFDocuments/u/G/TBTN26/BDI722.docx", "https://docs.wto.org/imrd/directdoc.asp?DDFDocuments/u/G/TBTN26/BDI722.docx")</f>
        <v>https://docs.wto.org/imrd/directdoc.asp?DDFDocuments/u/G/TBTN26/BDI722.docx</v>
      </c>
      <c r="T288" t="str">
        <f>HYPERLINK("https://docs.wto.org/imrd/directdoc.asp?DDFDocuments/v/G/TBTN26/BDI722.docx", "https://docs.wto.org/imrd/directdoc.asp?DDFDocuments/v/G/TBTN26/BDI722.docx")</f>
        <v>https://docs.wto.org/imrd/directdoc.asp?DDFDocuments/v/G/TBTN26/BDI722.docx</v>
      </c>
      <c r="U288" t="s">
        <v>64</v>
      </c>
      <c r="V288" t="s">
        <v>46</v>
      </c>
      <c r="W288" t="s">
        <v>46</v>
      </c>
      <c r="X288" t="s">
        <v>46</v>
      </c>
      <c r="Y288" t="s">
        <v>46</v>
      </c>
      <c r="Z288" t="s">
        <v>46</v>
      </c>
      <c r="AA288" t="s">
        <v>46</v>
      </c>
      <c r="AB288" s="2" t="s">
        <v>1436</v>
      </c>
      <c r="AC288" t="s">
        <v>43</v>
      </c>
      <c r="AD288" t="s">
        <v>43</v>
      </c>
      <c r="AE288" t="s">
        <v>43</v>
      </c>
      <c r="AF288" t="s">
        <v>43</v>
      </c>
      <c r="AG288" t="s">
        <v>43</v>
      </c>
      <c r="AH288" s="2" t="s">
        <v>43</v>
      </c>
    </row>
    <row r="289" spans="1:34" ht="45">
      <c r="A289" s="6" t="s">
        <v>390</v>
      </c>
      <c r="B289" s="7">
        <v>46085</v>
      </c>
      <c r="C289" s="9" t="str">
        <f>HYPERLINK("https://eping.wto.org/en/Search?viewData= G/TBT/N/BDI/720, G/TBT/N/KEN/1993, G/TBT/N/RWA/1362, G/TBT/N/TZA/1506, G/TBT/N/UGA/2319"," G/TBT/N/BDI/720, G/TBT/N/KEN/1993, G/TBT/N/RWA/1362, G/TBT/N/TZA/1506, G/TBT/N/UGA/2319")</f>
        <v xml:space="preserve"> G/TBT/N/BDI/720, G/TBT/N/KEN/1993, G/TBT/N/RWA/1362, G/TBT/N/TZA/1506, G/TBT/N/UGA/2319</v>
      </c>
      <c r="D289" s="8" t="s">
        <v>1413</v>
      </c>
      <c r="E289" s="8" t="s">
        <v>1414</v>
      </c>
      <c r="F289" s="8" t="s">
        <v>1415</v>
      </c>
      <c r="G289" s="8" t="s">
        <v>43</v>
      </c>
      <c r="H289" s="8" t="s">
        <v>1416</v>
      </c>
      <c r="I289" s="8" t="s">
        <v>1388</v>
      </c>
      <c r="J289" s="8" t="s">
        <v>43</v>
      </c>
      <c r="K289" s="8" t="s">
        <v>43</v>
      </c>
      <c r="L289" s="6"/>
      <c r="M289" s="7">
        <v>46145</v>
      </c>
      <c r="N289" s="7">
        <v>46203</v>
      </c>
      <c r="O289" s="7" t="s">
        <v>79</v>
      </c>
      <c r="P289" s="6" t="s">
        <v>62</v>
      </c>
      <c r="Q289" s="8" t="s">
        <v>1417</v>
      </c>
      <c r="R289" t="str">
        <f>HYPERLINK("https://docs.wto.org/imrd/directdoc.asp?DDFDocuments/t/G/TBTN26/BDI720.docx", "https://docs.wto.org/imrd/directdoc.asp?DDFDocuments/t/G/TBTN26/BDI720.docx")</f>
        <v>https://docs.wto.org/imrd/directdoc.asp?DDFDocuments/t/G/TBTN26/BDI720.docx</v>
      </c>
      <c r="S289" t="str">
        <f>HYPERLINK("https://docs.wto.org/imrd/directdoc.asp?DDFDocuments/u/G/TBTN26/BDI720.docx", "https://docs.wto.org/imrd/directdoc.asp?DDFDocuments/u/G/TBTN26/BDI720.docx")</f>
        <v>https://docs.wto.org/imrd/directdoc.asp?DDFDocuments/u/G/TBTN26/BDI720.docx</v>
      </c>
      <c r="T289" t="str">
        <f>HYPERLINK("https://docs.wto.org/imrd/directdoc.asp?DDFDocuments/v/G/TBTN26/BDI720.docx", "https://docs.wto.org/imrd/directdoc.asp?DDFDocuments/v/G/TBTN26/BDI720.docx")</f>
        <v>https://docs.wto.org/imrd/directdoc.asp?DDFDocuments/v/G/TBTN26/BDI720.docx</v>
      </c>
      <c r="U289" t="s">
        <v>64</v>
      </c>
      <c r="V289" t="s">
        <v>46</v>
      </c>
      <c r="W289" t="s">
        <v>46</v>
      </c>
      <c r="X289" t="s">
        <v>46</v>
      </c>
      <c r="Y289" t="s">
        <v>46</v>
      </c>
      <c r="Z289" t="s">
        <v>46</v>
      </c>
      <c r="AA289" t="s">
        <v>46</v>
      </c>
      <c r="AB289" s="2" t="s">
        <v>1418</v>
      </c>
      <c r="AC289" t="s">
        <v>43</v>
      </c>
      <c r="AD289" t="s">
        <v>43</v>
      </c>
      <c r="AE289" t="s">
        <v>43</v>
      </c>
      <c r="AF289" t="s">
        <v>43</v>
      </c>
      <c r="AG289" t="s">
        <v>43</v>
      </c>
      <c r="AH289" s="2" t="s">
        <v>43</v>
      </c>
    </row>
    <row r="290" spans="1:34" ht="105">
      <c r="A290" s="6" t="s">
        <v>146</v>
      </c>
      <c r="B290" s="7">
        <v>46085</v>
      </c>
      <c r="C290" s="9" t="str">
        <f>HYPERLINK("https://eping.wto.org/en/Search?viewData= G/TBT/N/CHL/422/Add.6"," G/TBT/N/CHL/422/Add.6")</f>
        <v xml:space="preserve"> G/TBT/N/CHL/422/Add.6</v>
      </c>
      <c r="D290" s="8" t="s">
        <v>1457</v>
      </c>
      <c r="E290" s="8" t="s">
        <v>1458</v>
      </c>
      <c r="F290" s="8" t="s">
        <v>1459</v>
      </c>
      <c r="G290" s="8" t="s">
        <v>43</v>
      </c>
      <c r="H290" s="8" t="s">
        <v>1460</v>
      </c>
      <c r="I290" s="8" t="s">
        <v>137</v>
      </c>
      <c r="J290" s="8" t="s">
        <v>1461</v>
      </c>
      <c r="K290" s="8" t="s">
        <v>43</v>
      </c>
      <c r="L290" s="6"/>
      <c r="M290" s="7" t="s">
        <v>43</v>
      </c>
      <c r="N290" s="7"/>
      <c r="O290" s="7"/>
      <c r="P290" s="6" t="s">
        <v>44</v>
      </c>
      <c r="Q290" s="8" t="s">
        <v>1462</v>
      </c>
      <c r="R290" t="str">
        <f>HYPERLINK("https://docs.wto.org/imrd/directdoc.asp?DDFDocuments/t/G/TBTN17/CHL422A6.docx", "https://docs.wto.org/imrd/directdoc.asp?DDFDocuments/t/G/TBTN17/CHL422A6.docx")</f>
        <v>https://docs.wto.org/imrd/directdoc.asp?DDFDocuments/t/G/TBTN17/CHL422A6.docx</v>
      </c>
      <c r="S290" t="str">
        <f>HYPERLINK("https://docs.wto.org/imrd/directdoc.asp?DDFDocuments/u/G/TBTN17/CHL422A6.docx", "https://docs.wto.org/imrd/directdoc.asp?DDFDocuments/u/G/TBTN17/CHL422A6.docx")</f>
        <v>https://docs.wto.org/imrd/directdoc.asp?DDFDocuments/u/G/TBTN17/CHL422A6.docx</v>
      </c>
      <c r="T290" t="str">
        <f>HYPERLINK("https://docs.wto.org/imrd/directdoc.asp?DDFDocuments/v/G/TBTN17/CHL422A6.docx", "https://docs.wto.org/imrd/directdoc.asp?DDFDocuments/v/G/TBTN17/CHL422A6.docx")</f>
        <v>https://docs.wto.org/imrd/directdoc.asp?DDFDocuments/v/G/TBTN17/CHL422A6.docx</v>
      </c>
      <c r="U290" t="s">
        <v>64</v>
      </c>
      <c r="V290" t="s">
        <v>46</v>
      </c>
      <c r="W290" t="s">
        <v>46</v>
      </c>
      <c r="X290" t="s">
        <v>46</v>
      </c>
      <c r="Y290" t="s">
        <v>46</v>
      </c>
      <c r="Z290" t="s">
        <v>46</v>
      </c>
      <c r="AA290" t="s">
        <v>46</v>
      </c>
      <c r="AB290" s="2" t="s">
        <v>43</v>
      </c>
      <c r="AC290" t="s">
        <v>43</v>
      </c>
      <c r="AD290" t="s">
        <v>43</v>
      </c>
      <c r="AE290" t="s">
        <v>43</v>
      </c>
      <c r="AF290" t="s">
        <v>43</v>
      </c>
      <c r="AG290" t="s">
        <v>43</v>
      </c>
      <c r="AH290" s="2" t="s">
        <v>43</v>
      </c>
    </row>
    <row r="291" spans="1:34" ht="30">
      <c r="A291" s="6" t="s">
        <v>124</v>
      </c>
      <c r="B291" s="7">
        <v>46085</v>
      </c>
      <c r="C291" s="9" t="str">
        <f>HYPERLINK("https://eping.wto.org/en/Search?viewData= G/TBT/N/BDI/721, G/TBT/N/KEN/1994, G/TBT/N/RWA/1363, G/TBT/N/TZA/1507, G/TBT/N/UGA/2320"," G/TBT/N/BDI/721, G/TBT/N/KEN/1994, G/TBT/N/RWA/1363, G/TBT/N/TZA/1507, G/TBT/N/UGA/2320")</f>
        <v xml:space="preserve"> G/TBT/N/BDI/721, G/TBT/N/KEN/1994, G/TBT/N/RWA/1363, G/TBT/N/TZA/1507, G/TBT/N/UGA/2320</v>
      </c>
      <c r="D291" s="8" t="s">
        <v>1419</v>
      </c>
      <c r="E291" s="8" t="s">
        <v>1420</v>
      </c>
      <c r="F291" s="8" t="s">
        <v>1386</v>
      </c>
      <c r="G291" s="8" t="s">
        <v>43</v>
      </c>
      <c r="H291" s="8" t="s">
        <v>1387</v>
      </c>
      <c r="I291" s="8" t="s">
        <v>1388</v>
      </c>
      <c r="J291" s="8" t="s">
        <v>43</v>
      </c>
      <c r="K291" s="8" t="s">
        <v>43</v>
      </c>
      <c r="L291" s="6"/>
      <c r="M291" s="7">
        <v>46145</v>
      </c>
      <c r="N291" s="7">
        <v>46203</v>
      </c>
      <c r="O291" s="7" t="s">
        <v>79</v>
      </c>
      <c r="P291" s="6" t="s">
        <v>62</v>
      </c>
      <c r="Q291" s="8" t="s">
        <v>1421</v>
      </c>
      <c r="R291" t="str">
        <f>HYPERLINK("https://docs.wto.org/imrd/directdoc.asp?DDFDocuments/t/G/TBTN26/BDI721.docx", "https://docs.wto.org/imrd/directdoc.asp?DDFDocuments/t/G/TBTN26/BDI721.docx")</f>
        <v>https://docs.wto.org/imrd/directdoc.asp?DDFDocuments/t/G/TBTN26/BDI721.docx</v>
      </c>
      <c r="S291" t="str">
        <f>HYPERLINK("https://docs.wto.org/imrd/directdoc.asp?DDFDocuments/u/G/TBTN26/BDI721.docx", "https://docs.wto.org/imrd/directdoc.asp?DDFDocuments/u/G/TBTN26/BDI721.docx")</f>
        <v>https://docs.wto.org/imrd/directdoc.asp?DDFDocuments/u/G/TBTN26/BDI721.docx</v>
      </c>
      <c r="T291" t="str">
        <f>HYPERLINK("https://docs.wto.org/imrd/directdoc.asp?DDFDocuments/v/G/TBTN26/BDI721.docx", "https://docs.wto.org/imrd/directdoc.asp?DDFDocuments/v/G/TBTN26/BDI721.docx")</f>
        <v>https://docs.wto.org/imrd/directdoc.asp?DDFDocuments/v/G/TBTN26/BDI721.docx</v>
      </c>
      <c r="U291" t="s">
        <v>64</v>
      </c>
      <c r="V291" t="s">
        <v>46</v>
      </c>
      <c r="W291" t="s">
        <v>46</v>
      </c>
      <c r="X291" t="s">
        <v>46</v>
      </c>
      <c r="Y291" t="s">
        <v>46</v>
      </c>
      <c r="Z291" t="s">
        <v>46</v>
      </c>
      <c r="AA291" t="s">
        <v>46</v>
      </c>
      <c r="AB291" s="2" t="s">
        <v>1422</v>
      </c>
      <c r="AC291" t="s">
        <v>43</v>
      </c>
      <c r="AD291" t="s">
        <v>43</v>
      </c>
      <c r="AE291" t="s">
        <v>43</v>
      </c>
      <c r="AF291" t="s">
        <v>43</v>
      </c>
      <c r="AG291" t="s">
        <v>43</v>
      </c>
      <c r="AH291" s="2" t="s">
        <v>43</v>
      </c>
    </row>
    <row r="292" spans="1:34" ht="45">
      <c r="A292" s="6" t="s">
        <v>509</v>
      </c>
      <c r="B292" s="7">
        <v>46085</v>
      </c>
      <c r="C292" s="9" t="str">
        <f>HYPERLINK("https://eping.wto.org/en/Search?viewData= G/TBT/N/BDI/720, G/TBT/N/KEN/1993, G/TBT/N/RWA/1362, G/TBT/N/TZA/1506, G/TBT/N/UGA/2319"," G/TBT/N/BDI/720, G/TBT/N/KEN/1993, G/TBT/N/RWA/1362, G/TBT/N/TZA/1506, G/TBT/N/UGA/2319")</f>
        <v xml:space="preserve"> G/TBT/N/BDI/720, G/TBT/N/KEN/1993, G/TBT/N/RWA/1362, G/TBT/N/TZA/1506, G/TBT/N/UGA/2319</v>
      </c>
      <c r="D292" s="8" t="s">
        <v>1413</v>
      </c>
      <c r="E292" s="8" t="s">
        <v>1414</v>
      </c>
      <c r="F292" s="8" t="s">
        <v>1415</v>
      </c>
      <c r="G292" s="8" t="s">
        <v>43</v>
      </c>
      <c r="H292" s="8" t="s">
        <v>1416</v>
      </c>
      <c r="I292" s="8" t="s">
        <v>1388</v>
      </c>
      <c r="J292" s="8" t="s">
        <v>43</v>
      </c>
      <c r="K292" s="8" t="s">
        <v>43</v>
      </c>
      <c r="L292" s="6"/>
      <c r="M292" s="7">
        <v>46145</v>
      </c>
      <c r="N292" s="7">
        <v>46203</v>
      </c>
      <c r="O292" s="7" t="s">
        <v>79</v>
      </c>
      <c r="P292" s="6" t="s">
        <v>62</v>
      </c>
      <c r="Q292" s="8" t="s">
        <v>1417</v>
      </c>
      <c r="R292" t="str">
        <f>HYPERLINK("https://docs.wto.org/imrd/directdoc.asp?DDFDocuments/t/G/TBTN26/BDI720.docx", "https://docs.wto.org/imrd/directdoc.asp?DDFDocuments/t/G/TBTN26/BDI720.docx")</f>
        <v>https://docs.wto.org/imrd/directdoc.asp?DDFDocuments/t/G/TBTN26/BDI720.docx</v>
      </c>
      <c r="S292" t="str">
        <f>HYPERLINK("https://docs.wto.org/imrd/directdoc.asp?DDFDocuments/u/G/TBTN26/BDI720.docx", "https://docs.wto.org/imrd/directdoc.asp?DDFDocuments/u/G/TBTN26/BDI720.docx")</f>
        <v>https://docs.wto.org/imrd/directdoc.asp?DDFDocuments/u/G/TBTN26/BDI720.docx</v>
      </c>
      <c r="T292" t="str">
        <f>HYPERLINK("https://docs.wto.org/imrd/directdoc.asp?DDFDocuments/v/G/TBTN26/BDI720.docx", "https://docs.wto.org/imrd/directdoc.asp?DDFDocuments/v/G/TBTN26/BDI720.docx")</f>
        <v>https://docs.wto.org/imrd/directdoc.asp?DDFDocuments/v/G/TBTN26/BDI720.docx</v>
      </c>
      <c r="U292" t="s">
        <v>64</v>
      </c>
      <c r="V292" t="s">
        <v>46</v>
      </c>
      <c r="W292" t="s">
        <v>46</v>
      </c>
      <c r="X292" t="s">
        <v>46</v>
      </c>
      <c r="Y292" t="s">
        <v>46</v>
      </c>
      <c r="Z292" t="s">
        <v>46</v>
      </c>
      <c r="AA292" t="s">
        <v>46</v>
      </c>
      <c r="AB292" s="2" t="s">
        <v>1418</v>
      </c>
      <c r="AC292" t="s">
        <v>43</v>
      </c>
      <c r="AD292" t="s">
        <v>43</v>
      </c>
      <c r="AE292" t="s">
        <v>43</v>
      </c>
      <c r="AF292" t="s">
        <v>43</v>
      </c>
      <c r="AG292" t="s">
        <v>43</v>
      </c>
      <c r="AH292" s="2" t="s">
        <v>43</v>
      </c>
    </row>
    <row r="293" spans="1:34" ht="30">
      <c r="A293" s="6" t="s">
        <v>577</v>
      </c>
      <c r="B293" s="7">
        <v>46085</v>
      </c>
      <c r="C293" s="9" t="str">
        <f>HYPERLINK("https://eping.wto.org/en/Search?viewData= G/TBT/N/BDI/721, G/TBT/N/KEN/1994, G/TBT/N/RWA/1363, G/TBT/N/TZA/1507, G/TBT/N/UGA/2320"," G/TBT/N/BDI/721, G/TBT/N/KEN/1994, G/TBT/N/RWA/1363, G/TBT/N/TZA/1507, G/TBT/N/UGA/2320")</f>
        <v xml:space="preserve"> G/TBT/N/BDI/721, G/TBT/N/KEN/1994, G/TBT/N/RWA/1363, G/TBT/N/TZA/1507, G/TBT/N/UGA/2320</v>
      </c>
      <c r="D293" s="8" t="s">
        <v>1419</v>
      </c>
      <c r="E293" s="8" t="s">
        <v>1420</v>
      </c>
      <c r="F293" s="8" t="s">
        <v>1386</v>
      </c>
      <c r="G293" s="8" t="s">
        <v>43</v>
      </c>
      <c r="H293" s="8" t="s">
        <v>1387</v>
      </c>
      <c r="I293" s="8" t="s">
        <v>1388</v>
      </c>
      <c r="J293" s="8" t="s">
        <v>43</v>
      </c>
      <c r="K293" s="8" t="s">
        <v>43</v>
      </c>
      <c r="L293" s="6"/>
      <c r="M293" s="7">
        <v>46145</v>
      </c>
      <c r="N293" s="7">
        <v>46203</v>
      </c>
      <c r="O293" s="7" t="s">
        <v>79</v>
      </c>
      <c r="P293" s="6" t="s">
        <v>62</v>
      </c>
      <c r="Q293" s="8" t="s">
        <v>1421</v>
      </c>
      <c r="R293" t="str">
        <f>HYPERLINK("https://docs.wto.org/imrd/directdoc.asp?DDFDocuments/t/G/TBTN26/BDI721.docx", "https://docs.wto.org/imrd/directdoc.asp?DDFDocuments/t/G/TBTN26/BDI721.docx")</f>
        <v>https://docs.wto.org/imrd/directdoc.asp?DDFDocuments/t/G/TBTN26/BDI721.docx</v>
      </c>
      <c r="S293" t="str">
        <f>HYPERLINK("https://docs.wto.org/imrd/directdoc.asp?DDFDocuments/u/G/TBTN26/BDI721.docx", "https://docs.wto.org/imrd/directdoc.asp?DDFDocuments/u/G/TBTN26/BDI721.docx")</f>
        <v>https://docs.wto.org/imrd/directdoc.asp?DDFDocuments/u/G/TBTN26/BDI721.docx</v>
      </c>
      <c r="T293" t="str">
        <f>HYPERLINK("https://docs.wto.org/imrd/directdoc.asp?DDFDocuments/v/G/TBTN26/BDI721.docx", "https://docs.wto.org/imrd/directdoc.asp?DDFDocuments/v/G/TBTN26/BDI721.docx")</f>
        <v>https://docs.wto.org/imrd/directdoc.asp?DDFDocuments/v/G/TBTN26/BDI721.docx</v>
      </c>
      <c r="U293" t="s">
        <v>64</v>
      </c>
      <c r="V293" t="s">
        <v>46</v>
      </c>
      <c r="W293" t="s">
        <v>46</v>
      </c>
      <c r="X293" t="s">
        <v>46</v>
      </c>
      <c r="Y293" t="s">
        <v>46</v>
      </c>
      <c r="Z293" t="s">
        <v>46</v>
      </c>
      <c r="AA293" t="s">
        <v>46</v>
      </c>
      <c r="AB293" s="2" t="s">
        <v>1422</v>
      </c>
      <c r="AC293" t="s">
        <v>43</v>
      </c>
      <c r="AD293" t="s">
        <v>43</v>
      </c>
      <c r="AE293" t="s">
        <v>43</v>
      </c>
      <c r="AF293" t="s">
        <v>43</v>
      </c>
      <c r="AG293" t="s">
        <v>43</v>
      </c>
      <c r="AH293" s="2" t="s">
        <v>43</v>
      </c>
    </row>
    <row r="294" spans="1:34" ht="45">
      <c r="A294" s="6" t="s">
        <v>124</v>
      </c>
      <c r="B294" s="7">
        <v>46085</v>
      </c>
      <c r="C294" s="9" t="str">
        <f>HYPERLINK("https://eping.wto.org/en/Search?viewData= G/TBT/N/BDI/722, G/TBT/N/KEN/1995, G/TBT/N/RWA/1364, G/TBT/N/TZA/1508, G/TBT/N/UGA/2321"," G/TBT/N/BDI/722, G/TBT/N/KEN/1995, G/TBT/N/RWA/1364, G/TBT/N/TZA/1508, G/TBT/N/UGA/2321")</f>
        <v xml:space="preserve"> G/TBT/N/BDI/722, G/TBT/N/KEN/1995, G/TBT/N/RWA/1364, G/TBT/N/TZA/1508, G/TBT/N/UGA/2321</v>
      </c>
      <c r="D294" s="8" t="s">
        <v>1431</v>
      </c>
      <c r="E294" s="8" t="s">
        <v>1432</v>
      </c>
      <c r="F294" s="8" t="s">
        <v>1433</v>
      </c>
      <c r="G294" s="8" t="s">
        <v>43</v>
      </c>
      <c r="H294" s="8" t="s">
        <v>1434</v>
      </c>
      <c r="I294" s="8" t="s">
        <v>1388</v>
      </c>
      <c r="J294" s="8" t="s">
        <v>43</v>
      </c>
      <c r="K294" s="8" t="s">
        <v>43</v>
      </c>
      <c r="L294" s="6"/>
      <c r="M294" s="7">
        <v>46145</v>
      </c>
      <c r="N294" s="7">
        <v>46203</v>
      </c>
      <c r="O294" s="7" t="s">
        <v>79</v>
      </c>
      <c r="P294" s="6" t="s">
        <v>62</v>
      </c>
      <c r="Q294" s="8" t="s">
        <v>1435</v>
      </c>
      <c r="R294" t="str">
        <f>HYPERLINK("https://docs.wto.org/imrd/directdoc.asp?DDFDocuments/t/G/TBTN26/BDI722.docx", "https://docs.wto.org/imrd/directdoc.asp?DDFDocuments/t/G/TBTN26/BDI722.docx")</f>
        <v>https://docs.wto.org/imrd/directdoc.asp?DDFDocuments/t/G/TBTN26/BDI722.docx</v>
      </c>
      <c r="S294" t="str">
        <f>HYPERLINK("https://docs.wto.org/imrd/directdoc.asp?DDFDocuments/u/G/TBTN26/BDI722.docx", "https://docs.wto.org/imrd/directdoc.asp?DDFDocuments/u/G/TBTN26/BDI722.docx")</f>
        <v>https://docs.wto.org/imrd/directdoc.asp?DDFDocuments/u/G/TBTN26/BDI722.docx</v>
      </c>
      <c r="T294" t="str">
        <f>HYPERLINK("https://docs.wto.org/imrd/directdoc.asp?DDFDocuments/v/G/TBTN26/BDI722.docx", "https://docs.wto.org/imrd/directdoc.asp?DDFDocuments/v/G/TBTN26/BDI722.docx")</f>
        <v>https://docs.wto.org/imrd/directdoc.asp?DDFDocuments/v/G/TBTN26/BDI722.docx</v>
      </c>
      <c r="U294" t="s">
        <v>64</v>
      </c>
      <c r="V294" t="s">
        <v>46</v>
      </c>
      <c r="W294" t="s">
        <v>46</v>
      </c>
      <c r="X294" t="s">
        <v>46</v>
      </c>
      <c r="Y294" t="s">
        <v>46</v>
      </c>
      <c r="Z294" t="s">
        <v>46</v>
      </c>
      <c r="AA294" t="s">
        <v>46</v>
      </c>
      <c r="AB294" s="2" t="s">
        <v>1436</v>
      </c>
      <c r="AC294" t="s">
        <v>43</v>
      </c>
      <c r="AD294" t="s">
        <v>43</v>
      </c>
      <c r="AE294" t="s">
        <v>43</v>
      </c>
      <c r="AF294" t="s">
        <v>43</v>
      </c>
      <c r="AG294" t="s">
        <v>43</v>
      </c>
      <c r="AH294" s="2" t="s">
        <v>43</v>
      </c>
    </row>
    <row r="295" spans="1:34" ht="45">
      <c r="A295" s="6" t="s">
        <v>390</v>
      </c>
      <c r="B295" s="7">
        <v>46085</v>
      </c>
      <c r="C295" s="9" t="str">
        <f>HYPERLINK("https://eping.wto.org/en/Search?viewData= G/TBT/N/BDI/722, G/TBT/N/KEN/1995, G/TBT/N/RWA/1364, G/TBT/N/TZA/1508, G/TBT/N/UGA/2321"," G/TBT/N/BDI/722, G/TBT/N/KEN/1995, G/TBT/N/RWA/1364, G/TBT/N/TZA/1508, G/TBT/N/UGA/2321")</f>
        <v xml:space="preserve"> G/TBT/N/BDI/722, G/TBT/N/KEN/1995, G/TBT/N/RWA/1364, G/TBT/N/TZA/1508, G/TBT/N/UGA/2321</v>
      </c>
      <c r="D295" s="8" t="s">
        <v>1431</v>
      </c>
      <c r="E295" s="8" t="s">
        <v>1432</v>
      </c>
      <c r="F295" s="8" t="s">
        <v>1433</v>
      </c>
      <c r="G295" s="8" t="s">
        <v>43</v>
      </c>
      <c r="H295" s="8" t="s">
        <v>1434</v>
      </c>
      <c r="I295" s="8" t="s">
        <v>1388</v>
      </c>
      <c r="J295" s="8" t="s">
        <v>43</v>
      </c>
      <c r="K295" s="8" t="s">
        <v>43</v>
      </c>
      <c r="L295" s="6"/>
      <c r="M295" s="7">
        <v>46145</v>
      </c>
      <c r="N295" s="7">
        <v>46203</v>
      </c>
      <c r="O295" s="7" t="s">
        <v>79</v>
      </c>
      <c r="P295" s="6" t="s">
        <v>62</v>
      </c>
      <c r="Q295" s="8" t="s">
        <v>1435</v>
      </c>
      <c r="R295" t="str">
        <f>HYPERLINK("https://docs.wto.org/imrd/directdoc.asp?DDFDocuments/t/G/TBTN26/BDI722.docx", "https://docs.wto.org/imrd/directdoc.asp?DDFDocuments/t/G/TBTN26/BDI722.docx")</f>
        <v>https://docs.wto.org/imrd/directdoc.asp?DDFDocuments/t/G/TBTN26/BDI722.docx</v>
      </c>
      <c r="S295" t="str">
        <f>HYPERLINK("https://docs.wto.org/imrd/directdoc.asp?DDFDocuments/u/G/TBTN26/BDI722.docx", "https://docs.wto.org/imrd/directdoc.asp?DDFDocuments/u/G/TBTN26/BDI722.docx")</f>
        <v>https://docs.wto.org/imrd/directdoc.asp?DDFDocuments/u/G/TBTN26/BDI722.docx</v>
      </c>
      <c r="T295" t="str">
        <f>HYPERLINK("https://docs.wto.org/imrd/directdoc.asp?DDFDocuments/v/G/TBTN26/BDI722.docx", "https://docs.wto.org/imrd/directdoc.asp?DDFDocuments/v/G/TBTN26/BDI722.docx")</f>
        <v>https://docs.wto.org/imrd/directdoc.asp?DDFDocuments/v/G/TBTN26/BDI722.docx</v>
      </c>
      <c r="U295" t="s">
        <v>64</v>
      </c>
      <c r="V295" t="s">
        <v>46</v>
      </c>
      <c r="W295" t="s">
        <v>46</v>
      </c>
      <c r="X295" t="s">
        <v>46</v>
      </c>
      <c r="Y295" t="s">
        <v>46</v>
      </c>
      <c r="Z295" t="s">
        <v>46</v>
      </c>
      <c r="AA295" t="s">
        <v>46</v>
      </c>
      <c r="AB295" s="2" t="s">
        <v>1436</v>
      </c>
      <c r="AC295" t="s">
        <v>43</v>
      </c>
      <c r="AD295" t="s">
        <v>43</v>
      </c>
      <c r="AE295" t="s">
        <v>43</v>
      </c>
      <c r="AF295" t="s">
        <v>43</v>
      </c>
      <c r="AG295" t="s">
        <v>43</v>
      </c>
      <c r="AH295" s="2" t="s">
        <v>43</v>
      </c>
    </row>
    <row r="296" spans="1:34" ht="150">
      <c r="A296" s="6" t="s">
        <v>124</v>
      </c>
      <c r="B296" s="7">
        <v>46085</v>
      </c>
      <c r="C296" s="9" t="str">
        <f>HYPERLINK("https://eping.wto.org/en/Search?viewData= G/TBT/N/KEN/1992"," G/TBT/N/KEN/1992")</f>
        <v xml:space="preserve"> G/TBT/N/KEN/1992</v>
      </c>
      <c r="D296" s="8" t="s">
        <v>1463</v>
      </c>
      <c r="E296" s="8" t="s">
        <v>1464</v>
      </c>
      <c r="F296" s="8" t="s">
        <v>1465</v>
      </c>
      <c r="G296" s="8" t="s">
        <v>43</v>
      </c>
      <c r="H296" s="8" t="s">
        <v>1466</v>
      </c>
      <c r="I296" s="8" t="s">
        <v>129</v>
      </c>
      <c r="J296" s="8" t="s">
        <v>43</v>
      </c>
      <c r="K296" s="8" t="s">
        <v>43</v>
      </c>
      <c r="L296" s="6"/>
      <c r="M296" s="7">
        <v>46145</v>
      </c>
      <c r="N296" s="7">
        <v>46203</v>
      </c>
      <c r="O296" s="7" t="s">
        <v>79</v>
      </c>
      <c r="P296" s="6" t="s">
        <v>62</v>
      </c>
      <c r="Q296" s="8" t="s">
        <v>1467</v>
      </c>
      <c r="R296" t="str">
        <f>HYPERLINK("https://docs.wto.org/imrd/directdoc.asp?DDFDocuments/t/G/TBTN26/KEN1992.docx", "https://docs.wto.org/imrd/directdoc.asp?DDFDocuments/t/G/TBTN26/KEN1992.docx")</f>
        <v>https://docs.wto.org/imrd/directdoc.asp?DDFDocuments/t/G/TBTN26/KEN1992.docx</v>
      </c>
      <c r="S296" t="str">
        <f>HYPERLINK("https://docs.wto.org/imrd/directdoc.asp?DDFDocuments/u/G/TBTN26/KEN1992.docx", "https://docs.wto.org/imrd/directdoc.asp?DDFDocuments/u/G/TBTN26/KEN1992.docx")</f>
        <v>https://docs.wto.org/imrd/directdoc.asp?DDFDocuments/u/G/TBTN26/KEN1992.docx</v>
      </c>
      <c r="T296" t="str">
        <f>HYPERLINK("https://docs.wto.org/imrd/directdoc.asp?DDFDocuments/v/G/TBTN26/KEN1992.docx", "https://docs.wto.org/imrd/directdoc.asp?DDFDocuments/v/G/TBTN26/KEN1992.docx")</f>
        <v>https://docs.wto.org/imrd/directdoc.asp?DDFDocuments/v/G/TBTN26/KEN1992.docx</v>
      </c>
      <c r="U296" t="s">
        <v>64</v>
      </c>
      <c r="V296" t="s">
        <v>46</v>
      </c>
      <c r="W296" t="s">
        <v>46</v>
      </c>
      <c r="X296" t="s">
        <v>46</v>
      </c>
      <c r="Y296" t="s">
        <v>46</v>
      </c>
      <c r="Z296" t="s">
        <v>46</v>
      </c>
      <c r="AA296" t="s">
        <v>46</v>
      </c>
      <c r="AB296" s="2" t="s">
        <v>1468</v>
      </c>
      <c r="AC296" t="s">
        <v>43</v>
      </c>
      <c r="AD296" t="s">
        <v>43</v>
      </c>
      <c r="AE296" t="s">
        <v>43</v>
      </c>
      <c r="AF296" t="s">
        <v>43</v>
      </c>
      <c r="AG296" t="s">
        <v>43</v>
      </c>
      <c r="AH296" s="2" t="s">
        <v>43</v>
      </c>
    </row>
    <row r="297" spans="1:34" ht="195">
      <c r="A297" s="6" t="s">
        <v>132</v>
      </c>
      <c r="B297" s="7">
        <v>46084</v>
      </c>
      <c r="C297" s="9" t="str">
        <f>HYPERLINK("https://eping.wto.org/en/Search?viewData= G/SPS/N/USA/3559"," G/SPS/N/USA/3559")</f>
        <v xml:space="preserve"> G/SPS/N/USA/3559</v>
      </c>
      <c r="D297" s="8" t="s">
        <v>1469</v>
      </c>
      <c r="E297" s="8" t="s">
        <v>1470</v>
      </c>
      <c r="F297" s="8" t="s">
        <v>1471</v>
      </c>
      <c r="G297" s="8" t="s">
        <v>43</v>
      </c>
      <c r="H297" s="8" t="s">
        <v>43</v>
      </c>
      <c r="I297" s="8" t="s">
        <v>58</v>
      </c>
      <c r="J297" s="8" t="s">
        <v>43</v>
      </c>
      <c r="K297" s="8" t="s">
        <v>310</v>
      </c>
      <c r="L297" s="6"/>
      <c r="M297" s="7">
        <v>46144</v>
      </c>
      <c r="N297" s="7">
        <v>46080</v>
      </c>
      <c r="O297" s="7">
        <v>46080</v>
      </c>
      <c r="P297" s="6" t="s">
        <v>62</v>
      </c>
      <c r="Q297" s="8" t="s">
        <v>1472</v>
      </c>
      <c r="R297" t="str">
        <f>HYPERLINK("https://docs.wto.org/imrd/directdoc.asp?DDFDocuments/t/G/SPS/NUSA3559.docx", "https://docs.wto.org/imrd/directdoc.asp?DDFDocuments/t/G/SPS/NUSA3559.docx")</f>
        <v>https://docs.wto.org/imrd/directdoc.asp?DDFDocuments/t/G/SPS/NUSA3559.docx</v>
      </c>
      <c r="S297" t="str">
        <f>HYPERLINK("https://docs.wto.org/imrd/directdoc.asp?DDFDocuments/u/G/SPS/NUSA3559.docx", "https://docs.wto.org/imrd/directdoc.asp?DDFDocuments/u/G/SPS/NUSA3559.docx")</f>
        <v>https://docs.wto.org/imrd/directdoc.asp?DDFDocuments/u/G/SPS/NUSA3559.docx</v>
      </c>
      <c r="T297" t="str">
        <f>HYPERLINK("https://docs.wto.org/imrd/directdoc.asp?DDFDocuments/v/G/SPS/NUSA3559.docx", "https://docs.wto.org/imrd/directdoc.asp?DDFDocuments/v/G/SPS/NUSA3559.docx")</f>
        <v>https://docs.wto.org/imrd/directdoc.asp?DDFDocuments/v/G/SPS/NUSA3559.docx</v>
      </c>
      <c r="U297" t="s">
        <v>43</v>
      </c>
      <c r="V297" t="s">
        <v>43</v>
      </c>
      <c r="W297" t="s">
        <v>43</v>
      </c>
      <c r="X297" t="s">
        <v>43</v>
      </c>
      <c r="Y297" t="s">
        <v>43</v>
      </c>
      <c r="Z297" t="s">
        <v>43</v>
      </c>
      <c r="AA297" t="s">
        <v>43</v>
      </c>
      <c r="AB297" s="2" t="s">
        <v>43</v>
      </c>
      <c r="AC297" t="s">
        <v>46</v>
      </c>
      <c r="AD297" t="s">
        <v>46</v>
      </c>
      <c r="AE297" t="s">
        <v>46</v>
      </c>
      <c r="AF297" t="s">
        <v>64</v>
      </c>
      <c r="AG297" t="s">
        <v>99</v>
      </c>
      <c r="AH297" s="2" t="s">
        <v>43</v>
      </c>
    </row>
    <row r="298" spans="1:34" ht="75">
      <c r="A298" s="6" t="s">
        <v>146</v>
      </c>
      <c r="B298" s="7">
        <v>46084</v>
      </c>
      <c r="C298" s="9" t="str">
        <f>HYPERLINK("https://eping.wto.org/en/Search?viewData= G/TBT/N/CHL/675/Add.4"," G/TBT/N/CHL/675/Add.4")</f>
        <v xml:space="preserve"> G/TBT/N/CHL/675/Add.4</v>
      </c>
      <c r="D298" s="8" t="s">
        <v>1473</v>
      </c>
      <c r="E298" s="8" t="s">
        <v>1474</v>
      </c>
      <c r="F298" s="8" t="s">
        <v>1475</v>
      </c>
      <c r="G298" s="8" t="s">
        <v>43</v>
      </c>
      <c r="H298" s="8" t="s">
        <v>1476</v>
      </c>
      <c r="I298" s="8" t="s">
        <v>1477</v>
      </c>
      <c r="J298" s="8" t="s">
        <v>1478</v>
      </c>
      <c r="K298" s="8" t="s">
        <v>43</v>
      </c>
      <c r="L298" s="6"/>
      <c r="M298" s="7" t="s">
        <v>43</v>
      </c>
      <c r="N298" s="7"/>
      <c r="O298" s="7"/>
      <c r="P298" s="6" t="s">
        <v>44</v>
      </c>
      <c r="Q298" s="8" t="s">
        <v>1479</v>
      </c>
      <c r="R298" t="str">
        <f>HYPERLINK("https://docs.wto.org/imrd/directdoc.asp?DDFDocuments/t/G/TBTN24/CHL675A4.docx", "https://docs.wto.org/imrd/directdoc.asp?DDFDocuments/t/G/TBTN24/CHL675A4.docx")</f>
        <v>https://docs.wto.org/imrd/directdoc.asp?DDFDocuments/t/G/TBTN24/CHL675A4.docx</v>
      </c>
      <c r="S298" t="str">
        <f>HYPERLINK("https://docs.wto.org/imrd/directdoc.asp?DDFDocuments/u/G/TBTN24/CHL675A4.docx", "https://docs.wto.org/imrd/directdoc.asp?DDFDocuments/u/G/TBTN24/CHL675A4.docx")</f>
        <v>https://docs.wto.org/imrd/directdoc.asp?DDFDocuments/u/G/TBTN24/CHL675A4.docx</v>
      </c>
      <c r="T298" t="str">
        <f>HYPERLINK("https://docs.wto.org/imrd/directdoc.asp?DDFDocuments/v/G/TBTN24/CHL675A4.docx", "https://docs.wto.org/imrd/directdoc.asp?DDFDocuments/v/G/TBTN24/CHL675A4.docx")</f>
        <v>https://docs.wto.org/imrd/directdoc.asp?DDFDocuments/v/G/TBTN24/CHL675A4.docx</v>
      </c>
      <c r="U298" t="s">
        <v>64</v>
      </c>
      <c r="V298" t="s">
        <v>46</v>
      </c>
      <c r="W298" t="s">
        <v>46</v>
      </c>
      <c r="X298" t="s">
        <v>46</v>
      </c>
      <c r="Y298" t="s">
        <v>46</v>
      </c>
      <c r="Z298" t="s">
        <v>46</v>
      </c>
      <c r="AA298" t="s">
        <v>46</v>
      </c>
      <c r="AB298" s="2" t="s">
        <v>43</v>
      </c>
      <c r="AC298" t="s">
        <v>43</v>
      </c>
      <c r="AD298" t="s">
        <v>43</v>
      </c>
      <c r="AE298" t="s">
        <v>43</v>
      </c>
      <c r="AF298" t="s">
        <v>43</v>
      </c>
      <c r="AG298" t="s">
        <v>43</v>
      </c>
      <c r="AH298" s="2" t="s">
        <v>43</v>
      </c>
    </row>
    <row r="299" spans="1:34" ht="315">
      <c r="A299" s="6" t="s">
        <v>892</v>
      </c>
      <c r="B299" s="7">
        <v>46084</v>
      </c>
      <c r="C299" s="9" t="str">
        <f>HYPERLINK("https://eping.wto.org/en/Search?viewData= G/TBT/N/PAN/157"," G/TBT/N/PAN/157")</f>
        <v xml:space="preserve"> G/TBT/N/PAN/157</v>
      </c>
      <c r="D299" s="8" t="s">
        <v>1480</v>
      </c>
      <c r="E299" s="8" t="s">
        <v>1481</v>
      </c>
      <c r="F299" s="8" t="s">
        <v>1482</v>
      </c>
      <c r="G299" s="8" t="s">
        <v>458</v>
      </c>
      <c r="H299" s="8" t="s">
        <v>459</v>
      </c>
      <c r="I299" s="8" t="s">
        <v>1483</v>
      </c>
      <c r="J299" s="8" t="s">
        <v>43</v>
      </c>
      <c r="K299" s="8" t="s">
        <v>240</v>
      </c>
      <c r="L299" s="6"/>
      <c r="M299" s="7">
        <v>46144</v>
      </c>
      <c r="N299" s="7" t="s">
        <v>79</v>
      </c>
      <c r="O299" s="7" t="s">
        <v>79</v>
      </c>
      <c r="P299" s="6" t="s">
        <v>62</v>
      </c>
      <c r="Q299" s="8" t="s">
        <v>1484</v>
      </c>
      <c r="R299" t="str">
        <f>HYPERLINK("https://docs.wto.org/imrd/directdoc.asp?DDFDocuments/t/G/TBTN26/PAN157.docx", "https://docs.wto.org/imrd/directdoc.asp?DDFDocuments/t/G/TBTN26/PAN157.docx")</f>
        <v>https://docs.wto.org/imrd/directdoc.asp?DDFDocuments/t/G/TBTN26/PAN157.docx</v>
      </c>
      <c r="S299" t="str">
        <f>HYPERLINK("https://docs.wto.org/imrd/directdoc.asp?DDFDocuments/u/G/TBTN26/PAN157.docx", "https://docs.wto.org/imrd/directdoc.asp?DDFDocuments/u/G/TBTN26/PAN157.docx")</f>
        <v>https://docs.wto.org/imrd/directdoc.asp?DDFDocuments/u/G/TBTN26/PAN157.docx</v>
      </c>
      <c r="T299" t="str">
        <f>HYPERLINK("https://docs.wto.org/imrd/directdoc.asp?DDFDocuments/v/G/TBTN26/PAN157.docx", "https://docs.wto.org/imrd/directdoc.asp?DDFDocuments/v/G/TBTN26/PAN157.docx")</f>
        <v>https://docs.wto.org/imrd/directdoc.asp?DDFDocuments/v/G/TBTN26/PAN157.docx</v>
      </c>
      <c r="U299" t="s">
        <v>64</v>
      </c>
      <c r="V299" t="s">
        <v>46</v>
      </c>
      <c r="W299" t="s">
        <v>46</v>
      </c>
      <c r="X299" t="s">
        <v>46</v>
      </c>
      <c r="Y299" t="s">
        <v>46</v>
      </c>
      <c r="Z299" t="s">
        <v>46</v>
      </c>
      <c r="AA299" t="s">
        <v>46</v>
      </c>
      <c r="AB299" s="2" t="s">
        <v>1485</v>
      </c>
      <c r="AC299" t="s">
        <v>43</v>
      </c>
      <c r="AD299" t="s">
        <v>43</v>
      </c>
      <c r="AE299" t="s">
        <v>43</v>
      </c>
      <c r="AF299" t="s">
        <v>43</v>
      </c>
      <c r="AG299" t="s">
        <v>43</v>
      </c>
      <c r="AH299" s="2" t="s">
        <v>43</v>
      </c>
    </row>
    <row r="300" spans="1:34" ht="90">
      <c r="A300" s="6" t="s">
        <v>146</v>
      </c>
      <c r="B300" s="7">
        <v>46084</v>
      </c>
      <c r="C300" s="9" t="str">
        <f>HYPERLINK("https://eping.wto.org/en/Search?viewData= G/SPS/N/CHL/877"," G/SPS/N/CHL/877")</f>
        <v xml:space="preserve"> G/SPS/N/CHL/877</v>
      </c>
      <c r="D300" s="8" t="s">
        <v>1486</v>
      </c>
      <c r="E300" s="8" t="s">
        <v>1487</v>
      </c>
      <c r="F300" s="8" t="s">
        <v>1488</v>
      </c>
      <c r="G300" s="8" t="s">
        <v>156</v>
      </c>
      <c r="H300" s="8" t="s">
        <v>43</v>
      </c>
      <c r="I300" s="8" t="s">
        <v>361</v>
      </c>
      <c r="J300" s="8" t="s">
        <v>43</v>
      </c>
      <c r="K300" s="8" t="s">
        <v>1183</v>
      </c>
      <c r="L300" s="6" t="s">
        <v>43</v>
      </c>
      <c r="M300" s="7" t="s">
        <v>43</v>
      </c>
      <c r="N300" s="7" t="s">
        <v>1489</v>
      </c>
      <c r="O300" s="7" t="s">
        <v>114</v>
      </c>
      <c r="P300" s="6" t="s">
        <v>62</v>
      </c>
      <c r="Q300" s="8" t="s">
        <v>1490</v>
      </c>
      <c r="R300" t="str">
        <f>HYPERLINK("https://docs.wto.org/imrd/directdoc.asp?DDFDocuments/t/G/SPS/NCHL877.docx", "https://docs.wto.org/imrd/directdoc.asp?DDFDocuments/t/G/SPS/NCHL877.docx")</f>
        <v>https://docs.wto.org/imrd/directdoc.asp?DDFDocuments/t/G/SPS/NCHL877.docx</v>
      </c>
      <c r="S300" t="str">
        <f>HYPERLINK("https://docs.wto.org/imrd/directdoc.asp?DDFDocuments/u/G/SPS/NCHL877.docx", "https://docs.wto.org/imrd/directdoc.asp?DDFDocuments/u/G/SPS/NCHL877.docx")</f>
        <v>https://docs.wto.org/imrd/directdoc.asp?DDFDocuments/u/G/SPS/NCHL877.docx</v>
      </c>
      <c r="T300" t="str">
        <f>HYPERLINK("https://docs.wto.org/imrd/directdoc.asp?DDFDocuments/v/G/SPS/NCHL877.docx", "https://docs.wto.org/imrd/directdoc.asp?DDFDocuments/v/G/SPS/NCHL877.docx")</f>
        <v>https://docs.wto.org/imrd/directdoc.asp?DDFDocuments/v/G/SPS/NCHL877.docx</v>
      </c>
      <c r="U300" t="s">
        <v>43</v>
      </c>
      <c r="V300" t="s">
        <v>43</v>
      </c>
      <c r="W300" t="s">
        <v>43</v>
      </c>
      <c r="X300" t="s">
        <v>43</v>
      </c>
      <c r="Y300" t="s">
        <v>43</v>
      </c>
      <c r="Z300" t="s">
        <v>43</v>
      </c>
      <c r="AA300" t="s">
        <v>43</v>
      </c>
      <c r="AB300" s="2" t="s">
        <v>43</v>
      </c>
      <c r="AC300" t="s">
        <v>46</v>
      </c>
      <c r="AD300" t="s">
        <v>64</v>
      </c>
      <c r="AE300" t="s">
        <v>46</v>
      </c>
      <c r="AF300" t="s">
        <v>46</v>
      </c>
      <c r="AG300" t="s">
        <v>64</v>
      </c>
      <c r="AH300" s="2" t="s">
        <v>43</v>
      </c>
    </row>
    <row r="301" spans="1:34" ht="195">
      <c r="A301" s="6" t="s">
        <v>892</v>
      </c>
      <c r="B301" s="7">
        <v>46084</v>
      </c>
      <c r="C301" s="9" t="str">
        <f>HYPERLINK("https://eping.wto.org/en/Search?viewData= G/TBT/N/PAN/156"," G/TBT/N/PAN/156")</f>
        <v xml:space="preserve"> G/TBT/N/PAN/156</v>
      </c>
      <c r="D301" s="8" t="s">
        <v>1491</v>
      </c>
      <c r="E301" s="8" t="s">
        <v>1492</v>
      </c>
      <c r="F301" s="8" t="s">
        <v>1493</v>
      </c>
      <c r="G301" s="8" t="s">
        <v>43</v>
      </c>
      <c r="H301" s="8" t="s">
        <v>1406</v>
      </c>
      <c r="I301" s="8" t="s">
        <v>1483</v>
      </c>
      <c r="J301" s="8" t="s">
        <v>43</v>
      </c>
      <c r="K301" s="8" t="s">
        <v>240</v>
      </c>
      <c r="L301" s="6"/>
      <c r="M301" s="7">
        <v>46144</v>
      </c>
      <c r="N301" s="7" t="s">
        <v>79</v>
      </c>
      <c r="O301" s="7" t="s">
        <v>79</v>
      </c>
      <c r="P301" s="6" t="s">
        <v>62</v>
      </c>
      <c r="Q301" s="8" t="s">
        <v>1494</v>
      </c>
      <c r="R301" t="str">
        <f>HYPERLINK("https://docs.wto.org/imrd/directdoc.asp?DDFDocuments/t/G/TBTN26/PAN156.docx", "https://docs.wto.org/imrd/directdoc.asp?DDFDocuments/t/G/TBTN26/PAN156.docx")</f>
        <v>https://docs.wto.org/imrd/directdoc.asp?DDFDocuments/t/G/TBTN26/PAN156.docx</v>
      </c>
      <c r="S301" t="str">
        <f>HYPERLINK("https://docs.wto.org/imrd/directdoc.asp?DDFDocuments/u/G/TBTN26/PAN156.docx", "https://docs.wto.org/imrd/directdoc.asp?DDFDocuments/u/G/TBTN26/PAN156.docx")</f>
        <v>https://docs.wto.org/imrd/directdoc.asp?DDFDocuments/u/G/TBTN26/PAN156.docx</v>
      </c>
      <c r="T301" t="str">
        <f>HYPERLINK("https://docs.wto.org/imrd/directdoc.asp?DDFDocuments/v/G/TBTN26/PAN156.docx", "https://docs.wto.org/imrd/directdoc.asp?DDFDocuments/v/G/TBTN26/PAN156.docx")</f>
        <v>https://docs.wto.org/imrd/directdoc.asp?DDFDocuments/v/G/TBTN26/PAN156.docx</v>
      </c>
      <c r="U301" t="s">
        <v>64</v>
      </c>
      <c r="V301" t="s">
        <v>46</v>
      </c>
      <c r="W301" t="s">
        <v>46</v>
      </c>
      <c r="X301" t="s">
        <v>46</v>
      </c>
      <c r="Y301" t="s">
        <v>46</v>
      </c>
      <c r="Z301" t="s">
        <v>46</v>
      </c>
      <c r="AA301" t="s">
        <v>46</v>
      </c>
      <c r="AB301" s="2" t="s">
        <v>1495</v>
      </c>
      <c r="AC301" t="s">
        <v>43</v>
      </c>
      <c r="AD301" t="s">
        <v>43</v>
      </c>
      <c r="AE301" t="s">
        <v>43</v>
      </c>
      <c r="AF301" t="s">
        <v>43</v>
      </c>
      <c r="AG301" t="s">
        <v>43</v>
      </c>
      <c r="AH301" s="2" t="s">
        <v>43</v>
      </c>
    </row>
    <row r="302" spans="1:34" ht="300">
      <c r="A302" s="6" t="s">
        <v>215</v>
      </c>
      <c r="B302" s="7">
        <v>46084</v>
      </c>
      <c r="C302" s="9" t="str">
        <f>HYPERLINK("https://eping.wto.org/en/Search?viewData= G/SPS/N/MYS/20/Rev.1"," G/SPS/N/MYS/20/Rev.1")</f>
        <v xml:space="preserve"> G/SPS/N/MYS/20/Rev.1</v>
      </c>
      <c r="D302" s="8" t="s">
        <v>662</v>
      </c>
      <c r="E302" s="8" t="s">
        <v>1496</v>
      </c>
      <c r="F302" s="8" t="s">
        <v>664</v>
      </c>
      <c r="G302" s="8" t="s">
        <v>43</v>
      </c>
      <c r="H302" s="8" t="s">
        <v>43</v>
      </c>
      <c r="I302" s="8" t="s">
        <v>529</v>
      </c>
      <c r="J302" s="8" t="s">
        <v>43</v>
      </c>
      <c r="K302" s="8" t="s">
        <v>1497</v>
      </c>
      <c r="L302" s="6" t="s">
        <v>43</v>
      </c>
      <c r="M302" s="7">
        <v>46144</v>
      </c>
      <c r="N302" s="7">
        <v>46143</v>
      </c>
      <c r="O302" s="7">
        <v>46174</v>
      </c>
      <c r="P302" s="6" t="s">
        <v>138</v>
      </c>
      <c r="Q302" s="6"/>
      <c r="R302" t="str">
        <f>HYPERLINK("https://docs.wto.org/imrd/directdoc.asp?DDFDocuments/t/G/SPS/NMYS20R1.docx", "https://docs.wto.org/imrd/directdoc.asp?DDFDocuments/t/G/SPS/NMYS20R1.docx")</f>
        <v>https://docs.wto.org/imrd/directdoc.asp?DDFDocuments/t/G/SPS/NMYS20R1.docx</v>
      </c>
      <c r="S302" t="str">
        <f>HYPERLINK("https://docs.wto.org/imrd/directdoc.asp?DDFDocuments/u/G/SPS/NMYS20R1.docx", "https://docs.wto.org/imrd/directdoc.asp?DDFDocuments/u/G/SPS/NMYS20R1.docx")</f>
        <v>https://docs.wto.org/imrd/directdoc.asp?DDFDocuments/u/G/SPS/NMYS20R1.docx</v>
      </c>
      <c r="T302" t="str">
        <f>HYPERLINK("https://docs.wto.org/imrd/directdoc.asp?DDFDocuments/v/G/SPS/NMYS20R1.docx", "https://docs.wto.org/imrd/directdoc.asp?DDFDocuments/v/G/SPS/NMYS20R1.docx")</f>
        <v>https://docs.wto.org/imrd/directdoc.asp?DDFDocuments/v/G/SPS/NMYS20R1.docx</v>
      </c>
      <c r="U302" t="s">
        <v>43</v>
      </c>
      <c r="V302" t="s">
        <v>43</v>
      </c>
      <c r="W302" t="s">
        <v>43</v>
      </c>
      <c r="X302" t="s">
        <v>43</v>
      </c>
      <c r="Y302" t="s">
        <v>43</v>
      </c>
      <c r="Z302" t="s">
        <v>43</v>
      </c>
      <c r="AA302" t="s">
        <v>43</v>
      </c>
      <c r="AB302" s="2" t="s">
        <v>43</v>
      </c>
      <c r="AC302" t="s">
        <v>46</v>
      </c>
      <c r="AD302" t="s">
        <v>64</v>
      </c>
      <c r="AE302" t="s">
        <v>46</v>
      </c>
      <c r="AF302" t="s">
        <v>46</v>
      </c>
      <c r="AG302" t="s">
        <v>64</v>
      </c>
      <c r="AH302" s="2" t="s">
        <v>43</v>
      </c>
    </row>
    <row r="303" spans="1:34" ht="240">
      <c r="A303" s="6" t="s">
        <v>215</v>
      </c>
      <c r="B303" s="7">
        <v>46084</v>
      </c>
      <c r="C303" s="9" t="str">
        <f>HYPERLINK("https://eping.wto.org/en/Search?viewData= G/SPS/N/MYS/26/Rev.1"," G/SPS/N/MYS/26/Rev.1")</f>
        <v xml:space="preserve"> G/SPS/N/MYS/26/Rev.1</v>
      </c>
      <c r="D303" s="8" t="s">
        <v>1498</v>
      </c>
      <c r="E303" s="8" t="s">
        <v>1499</v>
      </c>
      <c r="F303" s="8" t="s">
        <v>528</v>
      </c>
      <c r="G303" s="8" t="s">
        <v>43</v>
      </c>
      <c r="H303" s="8" t="s">
        <v>43</v>
      </c>
      <c r="I303" s="8" t="s">
        <v>529</v>
      </c>
      <c r="J303" s="8" t="s">
        <v>43</v>
      </c>
      <c r="K303" s="8" t="s">
        <v>1497</v>
      </c>
      <c r="L303" s="6" t="s">
        <v>43</v>
      </c>
      <c r="M303" s="7">
        <v>46144</v>
      </c>
      <c r="N303" s="7">
        <v>46143</v>
      </c>
      <c r="O303" s="7">
        <v>46174</v>
      </c>
      <c r="P303" s="6" t="s">
        <v>138</v>
      </c>
      <c r="Q303" s="6"/>
      <c r="R303" t="str">
        <f>HYPERLINK("https://docs.wto.org/imrd/directdoc.asp?DDFDocuments/t/G/SPS/NMYS26R1.docx", "https://docs.wto.org/imrd/directdoc.asp?DDFDocuments/t/G/SPS/NMYS26R1.docx")</f>
        <v>https://docs.wto.org/imrd/directdoc.asp?DDFDocuments/t/G/SPS/NMYS26R1.docx</v>
      </c>
      <c r="S303" t="str">
        <f>HYPERLINK("https://docs.wto.org/imrd/directdoc.asp?DDFDocuments/u/G/SPS/NMYS26R1.docx", "https://docs.wto.org/imrd/directdoc.asp?DDFDocuments/u/G/SPS/NMYS26R1.docx")</f>
        <v>https://docs.wto.org/imrd/directdoc.asp?DDFDocuments/u/G/SPS/NMYS26R1.docx</v>
      </c>
      <c r="T303" t="str">
        <f>HYPERLINK("https://docs.wto.org/imrd/directdoc.asp?DDFDocuments/v/G/SPS/NMYS26R1.docx", "https://docs.wto.org/imrd/directdoc.asp?DDFDocuments/v/G/SPS/NMYS26R1.docx")</f>
        <v>https://docs.wto.org/imrd/directdoc.asp?DDFDocuments/v/G/SPS/NMYS26R1.docx</v>
      </c>
      <c r="U303" t="s">
        <v>43</v>
      </c>
      <c r="V303" t="s">
        <v>43</v>
      </c>
      <c r="W303" t="s">
        <v>43</v>
      </c>
      <c r="X303" t="s">
        <v>43</v>
      </c>
      <c r="Y303" t="s">
        <v>43</v>
      </c>
      <c r="Z303" t="s">
        <v>43</v>
      </c>
      <c r="AA303" t="s">
        <v>43</v>
      </c>
      <c r="AB303" s="2" t="s">
        <v>43</v>
      </c>
      <c r="AC303" t="s">
        <v>46</v>
      </c>
      <c r="AD303" t="s">
        <v>64</v>
      </c>
      <c r="AE303" t="s">
        <v>46</v>
      </c>
      <c r="AF303" t="s">
        <v>46</v>
      </c>
      <c r="AG303" t="s">
        <v>64</v>
      </c>
      <c r="AH303" s="2" t="s">
        <v>43</v>
      </c>
    </row>
    <row r="304" spans="1:34" ht="45">
      <c r="A304" s="6" t="s">
        <v>303</v>
      </c>
      <c r="B304" s="7">
        <v>46084</v>
      </c>
      <c r="C304" s="9" t="str">
        <f>HYPERLINK("https://eping.wto.org/en/Search?viewData= G/SPS/N/KOR/841"," G/SPS/N/KOR/841")</f>
        <v xml:space="preserve"> G/SPS/N/KOR/841</v>
      </c>
      <c r="D304" s="8" t="s">
        <v>1500</v>
      </c>
      <c r="E304" s="8" t="s">
        <v>1501</v>
      </c>
      <c r="F304" s="8" t="s">
        <v>1502</v>
      </c>
      <c r="G304" s="8" t="s">
        <v>43</v>
      </c>
      <c r="H304" s="8" t="s">
        <v>43</v>
      </c>
      <c r="I304" s="8" t="s">
        <v>58</v>
      </c>
      <c r="J304" s="8" t="s">
        <v>43</v>
      </c>
      <c r="K304" s="8" t="s">
        <v>157</v>
      </c>
      <c r="L304" s="6" t="s">
        <v>43</v>
      </c>
      <c r="M304" s="7">
        <v>46144</v>
      </c>
      <c r="N304" s="7" t="s">
        <v>304</v>
      </c>
      <c r="O304" s="7" t="s">
        <v>304</v>
      </c>
      <c r="P304" s="6" t="s">
        <v>62</v>
      </c>
      <c r="Q304" s="8" t="s">
        <v>1503</v>
      </c>
      <c r="R304" t="str">
        <f>HYPERLINK("https://docs.wto.org/imrd/directdoc.asp?DDFDocuments/t/G/SPS/NKOR841.docx", "https://docs.wto.org/imrd/directdoc.asp?DDFDocuments/t/G/SPS/NKOR841.docx")</f>
        <v>https://docs.wto.org/imrd/directdoc.asp?DDFDocuments/t/G/SPS/NKOR841.docx</v>
      </c>
      <c r="S304" t="str">
        <f>HYPERLINK("https://docs.wto.org/imrd/directdoc.asp?DDFDocuments/u/G/SPS/NKOR841.docx", "https://docs.wto.org/imrd/directdoc.asp?DDFDocuments/u/G/SPS/NKOR841.docx")</f>
        <v>https://docs.wto.org/imrd/directdoc.asp?DDFDocuments/u/G/SPS/NKOR841.docx</v>
      </c>
      <c r="T304" t="str">
        <f>HYPERLINK("https://docs.wto.org/imrd/directdoc.asp?DDFDocuments/v/G/SPS/NKOR841.docx", "https://docs.wto.org/imrd/directdoc.asp?DDFDocuments/v/G/SPS/NKOR841.docx")</f>
        <v>https://docs.wto.org/imrd/directdoc.asp?DDFDocuments/v/G/SPS/NKOR841.docx</v>
      </c>
      <c r="U304" t="s">
        <v>43</v>
      </c>
      <c r="V304" t="s">
        <v>43</v>
      </c>
      <c r="W304" t="s">
        <v>43</v>
      </c>
      <c r="X304" t="s">
        <v>43</v>
      </c>
      <c r="Y304" t="s">
        <v>43</v>
      </c>
      <c r="Z304" t="s">
        <v>43</v>
      </c>
      <c r="AA304" t="s">
        <v>43</v>
      </c>
      <c r="AB304" s="2" t="s">
        <v>43</v>
      </c>
      <c r="AC304" t="s">
        <v>64</v>
      </c>
      <c r="AD304" t="s">
        <v>46</v>
      </c>
      <c r="AE304" t="s">
        <v>46</v>
      </c>
      <c r="AF304" t="s">
        <v>46</v>
      </c>
      <c r="AG304" t="s">
        <v>64</v>
      </c>
      <c r="AH304" s="2" t="s">
        <v>43</v>
      </c>
    </row>
    <row r="305" spans="1:34" ht="285">
      <c r="A305" s="6" t="s">
        <v>892</v>
      </c>
      <c r="B305" s="7">
        <v>46084</v>
      </c>
      <c r="C305" s="9" t="str">
        <f>HYPERLINK("https://eping.wto.org/en/Search?viewData= G/TBT/N/PAN/158"," G/TBT/N/PAN/158")</f>
        <v xml:space="preserve"> G/TBT/N/PAN/158</v>
      </c>
      <c r="D305" s="8" t="s">
        <v>1504</v>
      </c>
      <c r="E305" s="8" t="s">
        <v>1505</v>
      </c>
      <c r="F305" s="8" t="s">
        <v>1482</v>
      </c>
      <c r="G305" s="8" t="s">
        <v>458</v>
      </c>
      <c r="H305" s="8" t="s">
        <v>459</v>
      </c>
      <c r="I305" s="8" t="s">
        <v>1483</v>
      </c>
      <c r="J305" s="8" t="s">
        <v>43</v>
      </c>
      <c r="K305" s="8" t="s">
        <v>240</v>
      </c>
      <c r="L305" s="6"/>
      <c r="M305" s="7">
        <v>46144</v>
      </c>
      <c r="N305" s="7" t="s">
        <v>79</v>
      </c>
      <c r="O305" s="7" t="s">
        <v>79</v>
      </c>
      <c r="P305" s="6" t="s">
        <v>62</v>
      </c>
      <c r="Q305" s="8" t="s">
        <v>1506</v>
      </c>
      <c r="R305" t="str">
        <f>HYPERLINK("https://docs.wto.org/imrd/directdoc.asp?DDFDocuments/t/G/TBTN26/PAN158.docx", "https://docs.wto.org/imrd/directdoc.asp?DDFDocuments/t/G/TBTN26/PAN158.docx")</f>
        <v>https://docs.wto.org/imrd/directdoc.asp?DDFDocuments/t/G/TBTN26/PAN158.docx</v>
      </c>
      <c r="S305" t="str">
        <f>HYPERLINK("https://docs.wto.org/imrd/directdoc.asp?DDFDocuments/u/G/TBTN26/PAN158.docx", "https://docs.wto.org/imrd/directdoc.asp?DDFDocuments/u/G/TBTN26/PAN158.docx")</f>
        <v>https://docs.wto.org/imrd/directdoc.asp?DDFDocuments/u/G/TBTN26/PAN158.docx</v>
      </c>
      <c r="T305" t="str">
        <f>HYPERLINK("https://docs.wto.org/imrd/directdoc.asp?DDFDocuments/v/G/TBTN26/PAN158.docx", "https://docs.wto.org/imrd/directdoc.asp?DDFDocuments/v/G/TBTN26/PAN158.docx")</f>
        <v>https://docs.wto.org/imrd/directdoc.asp?DDFDocuments/v/G/TBTN26/PAN158.docx</v>
      </c>
      <c r="U305" t="s">
        <v>64</v>
      </c>
      <c r="V305" t="s">
        <v>46</v>
      </c>
      <c r="W305" t="s">
        <v>46</v>
      </c>
      <c r="X305" t="s">
        <v>46</v>
      </c>
      <c r="Y305" t="s">
        <v>46</v>
      </c>
      <c r="Z305" t="s">
        <v>46</v>
      </c>
      <c r="AA305" t="s">
        <v>46</v>
      </c>
      <c r="AB305" s="2" t="s">
        <v>1507</v>
      </c>
      <c r="AC305" t="s">
        <v>43</v>
      </c>
      <c r="AD305" t="s">
        <v>43</v>
      </c>
      <c r="AE305" t="s">
        <v>43</v>
      </c>
      <c r="AF305" t="s">
        <v>43</v>
      </c>
      <c r="AG305" t="s">
        <v>43</v>
      </c>
      <c r="AH305" s="2" t="s">
        <v>43</v>
      </c>
    </row>
    <row r="306" spans="1:34" ht="135">
      <c r="A306" s="6" t="s">
        <v>82</v>
      </c>
      <c r="B306" s="7">
        <v>46084</v>
      </c>
      <c r="C306" s="9" t="str">
        <f>HYPERLINK("https://eping.wto.org/en/Search?viewData= G/SPS/N/JPN/1393"," G/SPS/N/JPN/1393")</f>
        <v xml:space="preserve"> G/SPS/N/JPN/1393</v>
      </c>
      <c r="D306" s="8" t="s">
        <v>1508</v>
      </c>
      <c r="E306" s="8" t="s">
        <v>1509</v>
      </c>
      <c r="F306" s="8" t="s">
        <v>1510</v>
      </c>
      <c r="G306" s="8" t="s">
        <v>1405</v>
      </c>
      <c r="H306" s="8" t="s">
        <v>43</v>
      </c>
      <c r="I306" s="8" t="s">
        <v>104</v>
      </c>
      <c r="J306" s="8" t="s">
        <v>43</v>
      </c>
      <c r="K306" s="8" t="s">
        <v>1511</v>
      </c>
      <c r="L306" s="6" t="s">
        <v>1512</v>
      </c>
      <c r="M306" s="7" t="s">
        <v>43</v>
      </c>
      <c r="N306" s="7"/>
      <c r="O306" s="7">
        <v>46074</v>
      </c>
      <c r="P306" s="6" t="s">
        <v>107</v>
      </c>
      <c r="Q306" s="6"/>
      <c r="R306" t="str">
        <f>HYPERLINK("https://docs.wto.org/imrd/directdoc.asp?DDFDocuments/t/G/SPS/NJPN1393.docx", "https://docs.wto.org/imrd/directdoc.asp?DDFDocuments/t/G/SPS/NJPN1393.docx")</f>
        <v>https://docs.wto.org/imrd/directdoc.asp?DDFDocuments/t/G/SPS/NJPN1393.docx</v>
      </c>
      <c r="S306" t="str">
        <f>HYPERLINK("https://docs.wto.org/imrd/directdoc.asp?DDFDocuments/u/G/SPS/NJPN1393.docx", "https://docs.wto.org/imrd/directdoc.asp?DDFDocuments/u/G/SPS/NJPN1393.docx")</f>
        <v>https://docs.wto.org/imrd/directdoc.asp?DDFDocuments/u/G/SPS/NJPN1393.docx</v>
      </c>
      <c r="T306" t="str">
        <f>HYPERLINK("https://docs.wto.org/imrd/directdoc.asp?DDFDocuments/v/G/SPS/NJPN1393.docx", "https://docs.wto.org/imrd/directdoc.asp?DDFDocuments/v/G/SPS/NJPN1393.docx")</f>
        <v>https://docs.wto.org/imrd/directdoc.asp?DDFDocuments/v/G/SPS/NJPN1393.docx</v>
      </c>
      <c r="U306" t="s">
        <v>43</v>
      </c>
      <c r="V306" t="s">
        <v>43</v>
      </c>
      <c r="W306" t="s">
        <v>43</v>
      </c>
      <c r="X306" t="s">
        <v>43</v>
      </c>
      <c r="Y306" t="s">
        <v>43</v>
      </c>
      <c r="Z306" t="s">
        <v>43</v>
      </c>
      <c r="AA306" t="s">
        <v>43</v>
      </c>
      <c r="AB306" s="2" t="s">
        <v>43</v>
      </c>
      <c r="AC306" t="s">
        <v>46</v>
      </c>
      <c r="AD306" t="s">
        <v>64</v>
      </c>
      <c r="AE306" t="s">
        <v>46</v>
      </c>
      <c r="AF306" t="s">
        <v>46</v>
      </c>
      <c r="AG306" t="s">
        <v>64</v>
      </c>
      <c r="AH306" s="2" t="s">
        <v>43</v>
      </c>
    </row>
    <row r="307" spans="1:34" ht="75">
      <c r="A307" s="6" t="s">
        <v>289</v>
      </c>
      <c r="B307" s="7">
        <v>46084</v>
      </c>
      <c r="C307" s="9" t="str">
        <f>HYPERLINK("https://eping.wto.org/en/Search?viewData= G/SPS/N/BRA/2474"," G/SPS/N/BRA/2474")</f>
        <v xml:space="preserve"> G/SPS/N/BRA/2474</v>
      </c>
      <c r="D307" s="8" t="s">
        <v>1513</v>
      </c>
      <c r="E307" s="8" t="s">
        <v>1514</v>
      </c>
      <c r="F307" s="8" t="s">
        <v>1515</v>
      </c>
      <c r="G307" s="8" t="s">
        <v>43</v>
      </c>
      <c r="H307" s="8" t="s">
        <v>1516</v>
      </c>
      <c r="I307" s="8" t="s">
        <v>58</v>
      </c>
      <c r="J307" s="8" t="s">
        <v>43</v>
      </c>
      <c r="K307" s="8" t="s">
        <v>157</v>
      </c>
      <c r="L307" s="6"/>
      <c r="M307" s="7">
        <v>46144</v>
      </c>
      <c r="N307" s="7" t="s">
        <v>1517</v>
      </c>
      <c r="O307" s="7" t="s">
        <v>1517</v>
      </c>
      <c r="P307" s="6" t="s">
        <v>62</v>
      </c>
      <c r="Q307" s="8" t="s">
        <v>1518</v>
      </c>
      <c r="R307" t="str">
        <f>HYPERLINK("https://docs.wto.org/imrd/directdoc.asp?DDFDocuments/t/G/SPS/NBRA2474.docx", "https://docs.wto.org/imrd/directdoc.asp?DDFDocuments/t/G/SPS/NBRA2474.docx")</f>
        <v>https://docs.wto.org/imrd/directdoc.asp?DDFDocuments/t/G/SPS/NBRA2474.docx</v>
      </c>
      <c r="S307" t="str">
        <f>HYPERLINK("https://docs.wto.org/imrd/directdoc.asp?DDFDocuments/u/G/SPS/NBRA2474.docx", "https://docs.wto.org/imrd/directdoc.asp?DDFDocuments/u/G/SPS/NBRA2474.docx")</f>
        <v>https://docs.wto.org/imrd/directdoc.asp?DDFDocuments/u/G/SPS/NBRA2474.docx</v>
      </c>
      <c r="T307" t="str">
        <f>HYPERLINK("https://docs.wto.org/imrd/directdoc.asp?DDFDocuments/v/G/SPS/NBRA2474.docx", "https://docs.wto.org/imrd/directdoc.asp?DDFDocuments/v/G/SPS/NBRA2474.docx")</f>
        <v>https://docs.wto.org/imrd/directdoc.asp?DDFDocuments/v/G/SPS/NBRA2474.docx</v>
      </c>
      <c r="U307" t="s">
        <v>43</v>
      </c>
      <c r="V307" t="s">
        <v>43</v>
      </c>
      <c r="W307" t="s">
        <v>43</v>
      </c>
      <c r="X307" t="s">
        <v>43</v>
      </c>
      <c r="Y307" t="s">
        <v>43</v>
      </c>
      <c r="Z307" t="s">
        <v>43</v>
      </c>
      <c r="AA307" t="s">
        <v>43</v>
      </c>
      <c r="AB307" s="2" t="s">
        <v>43</v>
      </c>
      <c r="AC307" t="s">
        <v>46</v>
      </c>
      <c r="AD307" t="s">
        <v>46</v>
      </c>
      <c r="AE307" t="s">
        <v>46</v>
      </c>
      <c r="AF307" t="s">
        <v>64</v>
      </c>
      <c r="AG307" t="s">
        <v>99</v>
      </c>
      <c r="AH307" s="2" t="s">
        <v>43</v>
      </c>
    </row>
    <row r="308" spans="1:34" ht="105">
      <c r="A308" s="6" t="s">
        <v>132</v>
      </c>
      <c r="B308" s="7">
        <v>46084</v>
      </c>
      <c r="C308" s="9" t="str">
        <f>HYPERLINK("https://eping.wto.org/en/Search?viewData= G/SPS/N/USA/3560"," G/SPS/N/USA/3560")</f>
        <v xml:space="preserve"> G/SPS/N/USA/3560</v>
      </c>
      <c r="D308" s="8" t="s">
        <v>1519</v>
      </c>
      <c r="E308" s="8" t="s">
        <v>1520</v>
      </c>
      <c r="F308" s="8" t="s">
        <v>1471</v>
      </c>
      <c r="G308" s="8" t="s">
        <v>43</v>
      </c>
      <c r="H308" s="8" t="s">
        <v>43</v>
      </c>
      <c r="I308" s="8" t="s">
        <v>58</v>
      </c>
      <c r="J308" s="8" t="s">
        <v>43</v>
      </c>
      <c r="K308" s="8" t="s">
        <v>1521</v>
      </c>
      <c r="L308" s="6"/>
      <c r="M308" s="7">
        <v>46140</v>
      </c>
      <c r="N308" s="7">
        <v>46080</v>
      </c>
      <c r="O308" s="7">
        <v>46080</v>
      </c>
      <c r="P308" s="6" t="s">
        <v>62</v>
      </c>
      <c r="Q308" s="8" t="s">
        <v>1522</v>
      </c>
      <c r="R308" t="str">
        <f>HYPERLINK("https://docs.wto.org/imrd/directdoc.asp?DDFDocuments/t/G/SPS/NUSA3560.docx", "https://docs.wto.org/imrd/directdoc.asp?DDFDocuments/t/G/SPS/NUSA3560.docx")</f>
        <v>https://docs.wto.org/imrd/directdoc.asp?DDFDocuments/t/G/SPS/NUSA3560.docx</v>
      </c>
      <c r="S308" t="str">
        <f>HYPERLINK("https://docs.wto.org/imrd/directdoc.asp?DDFDocuments/u/G/SPS/NUSA3560.docx", "https://docs.wto.org/imrd/directdoc.asp?DDFDocuments/u/G/SPS/NUSA3560.docx")</f>
        <v>https://docs.wto.org/imrd/directdoc.asp?DDFDocuments/u/G/SPS/NUSA3560.docx</v>
      </c>
      <c r="T308" t="str">
        <f>HYPERLINK("https://docs.wto.org/imrd/directdoc.asp?DDFDocuments/v/G/SPS/NUSA3560.docx", "https://docs.wto.org/imrd/directdoc.asp?DDFDocuments/v/G/SPS/NUSA3560.docx")</f>
        <v>https://docs.wto.org/imrd/directdoc.asp?DDFDocuments/v/G/SPS/NUSA3560.docx</v>
      </c>
      <c r="U308" t="s">
        <v>43</v>
      </c>
      <c r="V308" t="s">
        <v>43</v>
      </c>
      <c r="W308" t="s">
        <v>43</v>
      </c>
      <c r="X308" t="s">
        <v>43</v>
      </c>
      <c r="Y308" t="s">
        <v>43</v>
      </c>
      <c r="Z308" t="s">
        <v>43</v>
      </c>
      <c r="AA308" t="s">
        <v>43</v>
      </c>
      <c r="AB308" s="2" t="s">
        <v>43</v>
      </c>
      <c r="AC308" t="s">
        <v>46</v>
      </c>
      <c r="AD308" t="s">
        <v>46</v>
      </c>
      <c r="AE308" t="s">
        <v>46</v>
      </c>
      <c r="AF308" t="s">
        <v>64</v>
      </c>
      <c r="AG308" t="s">
        <v>99</v>
      </c>
      <c r="AH308" s="2" t="s">
        <v>43</v>
      </c>
    </row>
    <row r="309" spans="1:34" ht="75">
      <c r="A309" s="6" t="s">
        <v>289</v>
      </c>
      <c r="B309" s="7">
        <v>46084</v>
      </c>
      <c r="C309" s="9" t="str">
        <f>HYPERLINK("https://eping.wto.org/en/Search?viewData= G/TBT/N/BRA/1229/Add.1"," G/TBT/N/BRA/1229/Add.1")</f>
        <v xml:space="preserve"> G/TBT/N/BRA/1229/Add.1</v>
      </c>
      <c r="D309" s="8" t="s">
        <v>1523</v>
      </c>
      <c r="E309" s="8" t="s">
        <v>1524</v>
      </c>
      <c r="F309" s="8" t="s">
        <v>1525</v>
      </c>
      <c r="G309" s="8" t="s">
        <v>1526</v>
      </c>
      <c r="H309" s="8" t="s">
        <v>1527</v>
      </c>
      <c r="I309" s="8" t="s">
        <v>1528</v>
      </c>
      <c r="J309" s="8" t="s">
        <v>1529</v>
      </c>
      <c r="K309" s="8" t="s">
        <v>1029</v>
      </c>
      <c r="L309" s="6"/>
      <c r="M309" s="7" t="s">
        <v>43</v>
      </c>
      <c r="N309" s="7"/>
      <c r="O309" s="7"/>
      <c r="P309" s="6" t="s">
        <v>44</v>
      </c>
      <c r="Q309" s="8" t="s">
        <v>1530</v>
      </c>
      <c r="R309" t="str">
        <f>HYPERLINK("https://docs.wto.org/imrd/directdoc.asp?DDFDocuments/t/G/TBTN21/BRA1229A1.docx", "https://docs.wto.org/imrd/directdoc.asp?DDFDocuments/t/G/TBTN21/BRA1229A1.docx")</f>
        <v>https://docs.wto.org/imrd/directdoc.asp?DDFDocuments/t/G/TBTN21/BRA1229A1.docx</v>
      </c>
      <c r="S309" t="str">
        <f>HYPERLINK("https://docs.wto.org/imrd/directdoc.asp?DDFDocuments/u/G/TBTN21/BRA1229A1.docx", "https://docs.wto.org/imrd/directdoc.asp?DDFDocuments/u/G/TBTN21/BRA1229A1.docx")</f>
        <v>https://docs.wto.org/imrd/directdoc.asp?DDFDocuments/u/G/TBTN21/BRA1229A1.docx</v>
      </c>
      <c r="T309" t="str">
        <f>HYPERLINK("https://docs.wto.org/imrd/directdoc.asp?DDFDocuments/v/G/TBTN21/BRA1229A1.docx", "https://docs.wto.org/imrd/directdoc.asp?DDFDocuments/v/G/TBTN21/BRA1229A1.docx")</f>
        <v>https://docs.wto.org/imrd/directdoc.asp?DDFDocuments/v/G/TBTN21/BRA1229A1.docx</v>
      </c>
      <c r="U309" t="s">
        <v>64</v>
      </c>
      <c r="V309" t="s">
        <v>46</v>
      </c>
      <c r="W309" t="s">
        <v>46</v>
      </c>
      <c r="X309" t="s">
        <v>46</v>
      </c>
      <c r="Y309" t="s">
        <v>46</v>
      </c>
      <c r="Z309" t="s">
        <v>46</v>
      </c>
      <c r="AA309" t="s">
        <v>46</v>
      </c>
      <c r="AB309" s="2" t="s">
        <v>43</v>
      </c>
      <c r="AC309" t="s">
        <v>43</v>
      </c>
      <c r="AD309" t="s">
        <v>43</v>
      </c>
      <c r="AE309" t="s">
        <v>43</v>
      </c>
      <c r="AF309" t="s">
        <v>43</v>
      </c>
      <c r="AG309" t="s">
        <v>43</v>
      </c>
      <c r="AH309" s="2" t="s">
        <v>43</v>
      </c>
    </row>
    <row r="310" spans="1:34" ht="75">
      <c r="A310" s="6" t="s">
        <v>289</v>
      </c>
      <c r="B310" s="7">
        <v>46084</v>
      </c>
      <c r="C310" s="9" t="str">
        <f>HYPERLINK("https://eping.wto.org/en/Search?viewData= G/SPS/N/BRA/2475"," G/SPS/N/BRA/2475")</f>
        <v xml:space="preserve"> G/SPS/N/BRA/2475</v>
      </c>
      <c r="D310" s="8" t="s">
        <v>1531</v>
      </c>
      <c r="E310" s="8" t="s">
        <v>1532</v>
      </c>
      <c r="F310" s="8" t="s">
        <v>1515</v>
      </c>
      <c r="G310" s="8" t="s">
        <v>43</v>
      </c>
      <c r="H310" s="8" t="s">
        <v>1516</v>
      </c>
      <c r="I310" s="8" t="s">
        <v>58</v>
      </c>
      <c r="J310" s="8" t="s">
        <v>43</v>
      </c>
      <c r="K310" s="8" t="s">
        <v>157</v>
      </c>
      <c r="L310" s="6"/>
      <c r="M310" s="7">
        <v>46144</v>
      </c>
      <c r="N310" s="7" t="s">
        <v>1517</v>
      </c>
      <c r="O310" s="7" t="s">
        <v>1517</v>
      </c>
      <c r="P310" s="6" t="s">
        <v>62</v>
      </c>
      <c r="Q310" s="8" t="s">
        <v>1533</v>
      </c>
      <c r="R310" t="str">
        <f>HYPERLINK("https://docs.wto.org/imrd/directdoc.asp?DDFDocuments/t/G/SPS/NBRA2475.docx", "https://docs.wto.org/imrd/directdoc.asp?DDFDocuments/t/G/SPS/NBRA2475.docx")</f>
        <v>https://docs.wto.org/imrd/directdoc.asp?DDFDocuments/t/G/SPS/NBRA2475.docx</v>
      </c>
      <c r="S310" t="str">
        <f>HYPERLINK("https://docs.wto.org/imrd/directdoc.asp?DDFDocuments/u/G/SPS/NBRA2475.docx", "https://docs.wto.org/imrd/directdoc.asp?DDFDocuments/u/G/SPS/NBRA2475.docx")</f>
        <v>https://docs.wto.org/imrd/directdoc.asp?DDFDocuments/u/G/SPS/NBRA2475.docx</v>
      </c>
      <c r="T310" t="str">
        <f>HYPERLINK("https://docs.wto.org/imrd/directdoc.asp?DDFDocuments/v/G/SPS/NBRA2475.docx", "https://docs.wto.org/imrd/directdoc.asp?DDFDocuments/v/G/SPS/NBRA2475.docx")</f>
        <v>https://docs.wto.org/imrd/directdoc.asp?DDFDocuments/v/G/SPS/NBRA2475.docx</v>
      </c>
      <c r="U310" t="s">
        <v>43</v>
      </c>
      <c r="V310" t="s">
        <v>43</v>
      </c>
      <c r="W310" t="s">
        <v>43</v>
      </c>
      <c r="X310" t="s">
        <v>43</v>
      </c>
      <c r="Y310" t="s">
        <v>43</v>
      </c>
      <c r="Z310" t="s">
        <v>43</v>
      </c>
      <c r="AA310" t="s">
        <v>43</v>
      </c>
      <c r="AB310" s="2" t="s">
        <v>43</v>
      </c>
      <c r="AC310" t="s">
        <v>46</v>
      </c>
      <c r="AD310" t="s">
        <v>46</v>
      </c>
      <c r="AE310" t="s">
        <v>46</v>
      </c>
      <c r="AF310" t="s">
        <v>64</v>
      </c>
      <c r="AG310" t="s">
        <v>99</v>
      </c>
      <c r="AH310" s="2" t="s">
        <v>43</v>
      </c>
    </row>
    <row r="311" spans="1:34" ht="195">
      <c r="A311" s="6" t="s">
        <v>158</v>
      </c>
      <c r="B311" s="7">
        <v>46084</v>
      </c>
      <c r="C311" s="9" t="str">
        <f>HYPERLINK("https://eping.wto.org/en/Search?viewData= G/TBT/N/UKR/343/Rev.1"," G/TBT/N/UKR/343/Rev.1")</f>
        <v xml:space="preserve"> G/TBT/N/UKR/343/Rev.1</v>
      </c>
      <c r="D311" s="8" t="s">
        <v>1534</v>
      </c>
      <c r="E311" s="8" t="s">
        <v>1535</v>
      </c>
      <c r="F311" s="8" t="s">
        <v>1536</v>
      </c>
      <c r="G311" s="8" t="s">
        <v>43</v>
      </c>
      <c r="H311" s="8" t="s">
        <v>1537</v>
      </c>
      <c r="I311" s="8" t="s">
        <v>137</v>
      </c>
      <c r="J311" s="8" t="s">
        <v>43</v>
      </c>
      <c r="K311" s="8" t="s">
        <v>43</v>
      </c>
      <c r="L311" s="6"/>
      <c r="M311" s="7">
        <v>46144</v>
      </c>
      <c r="N311" s="7" t="s">
        <v>79</v>
      </c>
      <c r="O311" s="7">
        <v>46281</v>
      </c>
      <c r="P311" s="6" t="s">
        <v>138</v>
      </c>
      <c r="Q311" s="8" t="s">
        <v>1538</v>
      </c>
      <c r="R311" t="str">
        <f>HYPERLINK("https://docs.wto.org/imrd/directdoc.asp?DDFDocuments/t/G/TBTN25/UKR343R1.docx", "https://docs.wto.org/imrd/directdoc.asp?DDFDocuments/t/G/TBTN25/UKR343R1.docx")</f>
        <v>https://docs.wto.org/imrd/directdoc.asp?DDFDocuments/t/G/TBTN25/UKR343R1.docx</v>
      </c>
      <c r="S311" t="str">
        <f>HYPERLINK("https://docs.wto.org/imrd/directdoc.asp?DDFDocuments/u/G/TBTN25/UKR343R1.docx", "https://docs.wto.org/imrd/directdoc.asp?DDFDocuments/u/G/TBTN25/UKR343R1.docx")</f>
        <v>https://docs.wto.org/imrd/directdoc.asp?DDFDocuments/u/G/TBTN25/UKR343R1.docx</v>
      </c>
      <c r="T311" t="str">
        <f>HYPERLINK("https://docs.wto.org/imrd/directdoc.asp?DDFDocuments/v/G/TBTN25/UKR343R1.docx", "https://docs.wto.org/imrd/directdoc.asp?DDFDocuments/v/G/TBTN25/UKR343R1.docx")</f>
        <v>https://docs.wto.org/imrd/directdoc.asp?DDFDocuments/v/G/TBTN25/UKR343R1.docx</v>
      </c>
      <c r="U311" t="s">
        <v>64</v>
      </c>
      <c r="V311" t="s">
        <v>46</v>
      </c>
      <c r="W311" t="s">
        <v>64</v>
      </c>
      <c r="X311" t="s">
        <v>46</v>
      </c>
      <c r="Y311" t="s">
        <v>46</v>
      </c>
      <c r="Z311" t="s">
        <v>46</v>
      </c>
      <c r="AA311" t="s">
        <v>46</v>
      </c>
      <c r="AB311" s="2" t="s">
        <v>1539</v>
      </c>
      <c r="AC311" t="s">
        <v>43</v>
      </c>
      <c r="AD311" t="s">
        <v>43</v>
      </c>
      <c r="AE311" t="s">
        <v>43</v>
      </c>
      <c r="AF311" t="s">
        <v>43</v>
      </c>
      <c r="AG311" t="s">
        <v>43</v>
      </c>
      <c r="AH311" s="2" t="s">
        <v>43</v>
      </c>
    </row>
    <row r="312" spans="1:34" ht="90">
      <c r="A312" s="6" t="s">
        <v>303</v>
      </c>
      <c r="B312" s="7">
        <v>46084</v>
      </c>
      <c r="C312" s="9" t="str">
        <f>HYPERLINK("https://eping.wto.org/en/Search?viewData= G/SPS/N/KOR/840"," G/SPS/N/KOR/840")</f>
        <v xml:space="preserve"> G/SPS/N/KOR/840</v>
      </c>
      <c r="D312" s="8" t="s">
        <v>1540</v>
      </c>
      <c r="E312" s="8" t="s">
        <v>1541</v>
      </c>
      <c r="F312" s="8" t="s">
        <v>1502</v>
      </c>
      <c r="G312" s="8" t="s">
        <v>43</v>
      </c>
      <c r="H312" s="8" t="s">
        <v>43</v>
      </c>
      <c r="I312" s="8" t="s">
        <v>58</v>
      </c>
      <c r="J312" s="8" t="s">
        <v>43</v>
      </c>
      <c r="K312" s="8" t="s">
        <v>310</v>
      </c>
      <c r="L312" s="6" t="s">
        <v>43</v>
      </c>
      <c r="M312" s="7">
        <v>46144</v>
      </c>
      <c r="N312" s="7" t="s">
        <v>304</v>
      </c>
      <c r="O312" s="7" t="s">
        <v>304</v>
      </c>
      <c r="P312" s="6" t="s">
        <v>62</v>
      </c>
      <c r="Q312" s="8" t="s">
        <v>1542</v>
      </c>
      <c r="R312" t="str">
        <f>HYPERLINK("https://docs.wto.org/imrd/directdoc.asp?DDFDocuments/t/G/SPS/NKOR840.docx", "https://docs.wto.org/imrd/directdoc.asp?DDFDocuments/t/G/SPS/NKOR840.docx")</f>
        <v>https://docs.wto.org/imrd/directdoc.asp?DDFDocuments/t/G/SPS/NKOR840.docx</v>
      </c>
      <c r="S312" t="str">
        <f>HYPERLINK("https://docs.wto.org/imrd/directdoc.asp?DDFDocuments/u/G/SPS/NKOR840.docx", "https://docs.wto.org/imrd/directdoc.asp?DDFDocuments/u/G/SPS/NKOR840.docx")</f>
        <v>https://docs.wto.org/imrd/directdoc.asp?DDFDocuments/u/G/SPS/NKOR840.docx</v>
      </c>
      <c r="T312" t="str">
        <f>HYPERLINK("https://docs.wto.org/imrd/directdoc.asp?DDFDocuments/v/G/SPS/NKOR840.docx", "https://docs.wto.org/imrd/directdoc.asp?DDFDocuments/v/G/SPS/NKOR840.docx")</f>
        <v>https://docs.wto.org/imrd/directdoc.asp?DDFDocuments/v/G/SPS/NKOR840.docx</v>
      </c>
      <c r="U312" t="s">
        <v>43</v>
      </c>
      <c r="V312" t="s">
        <v>43</v>
      </c>
      <c r="W312" t="s">
        <v>43</v>
      </c>
      <c r="X312" t="s">
        <v>43</v>
      </c>
      <c r="Y312" t="s">
        <v>43</v>
      </c>
      <c r="Z312" t="s">
        <v>43</v>
      </c>
      <c r="AA312" t="s">
        <v>43</v>
      </c>
      <c r="AB312" s="2" t="s">
        <v>43</v>
      </c>
      <c r="AC312" t="s">
        <v>64</v>
      </c>
      <c r="AD312" t="s">
        <v>46</v>
      </c>
      <c r="AE312" t="s">
        <v>46</v>
      </c>
      <c r="AF312" t="s">
        <v>46</v>
      </c>
      <c r="AG312" t="s">
        <v>64</v>
      </c>
      <c r="AH312" s="2" t="s">
        <v>43</v>
      </c>
    </row>
    <row r="313" spans="1:34" ht="120">
      <c r="A313" s="6" t="s">
        <v>1328</v>
      </c>
      <c r="B313" s="7">
        <v>46084</v>
      </c>
      <c r="C313" s="9" t="str">
        <f>HYPERLINK("https://eping.wto.org/en/Search?viewData= G/TBT/N/PHL/358"," G/TBT/N/PHL/358")</f>
        <v xml:space="preserve"> G/TBT/N/PHL/358</v>
      </c>
      <c r="D313" s="8" t="s">
        <v>1543</v>
      </c>
      <c r="E313" s="8" t="s">
        <v>1544</v>
      </c>
      <c r="F313" s="8" t="s">
        <v>1545</v>
      </c>
      <c r="G313" s="8" t="s">
        <v>43</v>
      </c>
      <c r="H313" s="8" t="s">
        <v>1427</v>
      </c>
      <c r="I313" s="8" t="s">
        <v>275</v>
      </c>
      <c r="J313" s="8" t="s">
        <v>43</v>
      </c>
      <c r="K313" s="8" t="s">
        <v>350</v>
      </c>
      <c r="L313" s="6"/>
      <c r="M313" s="7">
        <v>46127</v>
      </c>
      <c r="N313" s="7" t="s">
        <v>79</v>
      </c>
      <c r="O313" s="7">
        <v>46157</v>
      </c>
      <c r="P313" s="6" t="s">
        <v>62</v>
      </c>
      <c r="Q313" s="8" t="s">
        <v>1546</v>
      </c>
      <c r="R313" t="str">
        <f>HYPERLINK("https://docs.wto.org/imrd/directdoc.asp?DDFDocuments/t/G/TBTN26/PHL358.docx", "https://docs.wto.org/imrd/directdoc.asp?DDFDocuments/t/G/TBTN26/PHL358.docx")</f>
        <v>https://docs.wto.org/imrd/directdoc.asp?DDFDocuments/t/G/TBTN26/PHL358.docx</v>
      </c>
      <c r="S313" t="str">
        <f>HYPERLINK("https://docs.wto.org/imrd/directdoc.asp?DDFDocuments/u/G/TBTN26/PHL358.docx", "https://docs.wto.org/imrd/directdoc.asp?DDFDocuments/u/G/TBTN26/PHL358.docx")</f>
        <v>https://docs.wto.org/imrd/directdoc.asp?DDFDocuments/u/G/TBTN26/PHL358.docx</v>
      </c>
      <c r="T313" t="str">
        <f>HYPERLINK("https://docs.wto.org/imrd/directdoc.asp?DDFDocuments/v/G/TBTN26/PHL358.docx", "https://docs.wto.org/imrd/directdoc.asp?DDFDocuments/v/G/TBTN26/PHL358.docx")</f>
        <v>https://docs.wto.org/imrd/directdoc.asp?DDFDocuments/v/G/TBTN26/PHL358.docx</v>
      </c>
      <c r="U313" t="s">
        <v>64</v>
      </c>
      <c r="V313" t="s">
        <v>46</v>
      </c>
      <c r="W313" t="s">
        <v>46</v>
      </c>
      <c r="X313" t="s">
        <v>46</v>
      </c>
      <c r="Y313" t="s">
        <v>46</v>
      </c>
      <c r="Z313" t="s">
        <v>46</v>
      </c>
      <c r="AA313" t="s">
        <v>46</v>
      </c>
      <c r="AB313" s="2" t="s">
        <v>1547</v>
      </c>
      <c r="AC313" t="s">
        <v>43</v>
      </c>
      <c r="AD313" t="s">
        <v>43</v>
      </c>
      <c r="AE313" t="s">
        <v>43</v>
      </c>
      <c r="AF313" t="s">
        <v>43</v>
      </c>
      <c r="AG313" t="s">
        <v>43</v>
      </c>
      <c r="AH313" s="2" t="s">
        <v>43</v>
      </c>
    </row>
    <row r="314" spans="1:34" ht="225">
      <c r="A314" s="6" t="s">
        <v>892</v>
      </c>
      <c r="B314" s="7">
        <v>46084</v>
      </c>
      <c r="C314" s="9" t="str">
        <f>HYPERLINK("https://eping.wto.org/en/Search?viewData= G/TBT/N/PAN/159"," G/TBT/N/PAN/159")</f>
        <v xml:space="preserve"> G/TBT/N/PAN/159</v>
      </c>
      <c r="D314" s="8" t="s">
        <v>1548</v>
      </c>
      <c r="E314" s="8" t="s">
        <v>1549</v>
      </c>
      <c r="F314" s="8" t="s">
        <v>1550</v>
      </c>
      <c r="G314" s="8" t="s">
        <v>43</v>
      </c>
      <c r="H314" s="8" t="s">
        <v>431</v>
      </c>
      <c r="I314" s="8" t="s">
        <v>1483</v>
      </c>
      <c r="J314" s="8" t="s">
        <v>43</v>
      </c>
      <c r="K314" s="8" t="s">
        <v>240</v>
      </c>
      <c r="L314" s="6"/>
      <c r="M314" s="7">
        <v>46144</v>
      </c>
      <c r="N314" s="7" t="s">
        <v>79</v>
      </c>
      <c r="O314" s="7" t="s">
        <v>79</v>
      </c>
      <c r="P314" s="6" t="s">
        <v>62</v>
      </c>
      <c r="Q314" s="8" t="s">
        <v>1551</v>
      </c>
      <c r="R314" t="str">
        <f>HYPERLINK("https://docs.wto.org/imrd/directdoc.asp?DDFDocuments/t/G/TBTN26/PAN159.docx", "https://docs.wto.org/imrd/directdoc.asp?DDFDocuments/t/G/TBTN26/PAN159.docx")</f>
        <v>https://docs.wto.org/imrd/directdoc.asp?DDFDocuments/t/G/TBTN26/PAN159.docx</v>
      </c>
      <c r="S314" t="str">
        <f>HYPERLINK("https://docs.wto.org/imrd/directdoc.asp?DDFDocuments/u/G/TBTN26/PAN159.docx", "https://docs.wto.org/imrd/directdoc.asp?DDFDocuments/u/G/TBTN26/PAN159.docx")</f>
        <v>https://docs.wto.org/imrd/directdoc.asp?DDFDocuments/u/G/TBTN26/PAN159.docx</v>
      </c>
      <c r="T314" t="str">
        <f>HYPERLINK("https://docs.wto.org/imrd/directdoc.asp?DDFDocuments/v/G/TBTN26/PAN159.docx", "https://docs.wto.org/imrd/directdoc.asp?DDFDocuments/v/G/TBTN26/PAN159.docx")</f>
        <v>https://docs.wto.org/imrd/directdoc.asp?DDFDocuments/v/G/TBTN26/PAN159.docx</v>
      </c>
      <c r="U314" t="s">
        <v>64</v>
      </c>
      <c r="V314" t="s">
        <v>46</v>
      </c>
      <c r="W314" t="s">
        <v>46</v>
      </c>
      <c r="X314" t="s">
        <v>46</v>
      </c>
      <c r="Y314" t="s">
        <v>46</v>
      </c>
      <c r="Z314" t="s">
        <v>46</v>
      </c>
      <c r="AA314" t="s">
        <v>46</v>
      </c>
      <c r="AB314" s="2" t="s">
        <v>1552</v>
      </c>
      <c r="AC314" t="s">
        <v>43</v>
      </c>
      <c r="AD314" t="s">
        <v>43</v>
      </c>
      <c r="AE314" t="s">
        <v>43</v>
      </c>
      <c r="AF314" t="s">
        <v>43</v>
      </c>
      <c r="AG314" t="s">
        <v>43</v>
      </c>
      <c r="AH314" s="2" t="s">
        <v>43</v>
      </c>
    </row>
    <row r="315" spans="1:34" ht="210">
      <c r="A315" s="6" t="s">
        <v>338</v>
      </c>
      <c r="B315" s="7">
        <v>46083</v>
      </c>
      <c r="C315" s="9" t="str">
        <f>HYPERLINK("https://eping.wto.org/en/Search?viewData= G/TBT/N/SAU/1201/Add.2"," G/TBT/N/SAU/1201/Add.2")</f>
        <v xml:space="preserve"> G/TBT/N/SAU/1201/Add.2</v>
      </c>
      <c r="D315" s="8" t="s">
        <v>1553</v>
      </c>
      <c r="E315" s="8" t="s">
        <v>1554</v>
      </c>
      <c r="F315" s="8" t="s">
        <v>1555</v>
      </c>
      <c r="G315" s="8" t="s">
        <v>1556</v>
      </c>
      <c r="H315" s="8" t="s">
        <v>1557</v>
      </c>
      <c r="I315" s="8" t="s">
        <v>1558</v>
      </c>
      <c r="J315" s="8" t="s">
        <v>43</v>
      </c>
      <c r="K315" s="8" t="s">
        <v>670</v>
      </c>
      <c r="L315" s="6"/>
      <c r="M315" s="7" t="s">
        <v>43</v>
      </c>
      <c r="N315" s="7"/>
      <c r="O315" s="7"/>
      <c r="P315" s="6" t="s">
        <v>44</v>
      </c>
      <c r="Q315" s="8" t="s">
        <v>1559</v>
      </c>
      <c r="R315" t="str">
        <f>HYPERLINK("https://docs.wto.org/imrd/directdoc.asp?DDFDocuments/t/G/TBTN21/SAU1201A2.docx", "https://docs.wto.org/imrd/directdoc.asp?DDFDocuments/t/G/TBTN21/SAU1201A2.docx")</f>
        <v>https://docs.wto.org/imrd/directdoc.asp?DDFDocuments/t/G/TBTN21/SAU1201A2.docx</v>
      </c>
      <c r="S315" t="str">
        <f>HYPERLINK("https://docs.wto.org/imrd/directdoc.asp?DDFDocuments/u/G/TBTN21/SAU1201A2.docx", "https://docs.wto.org/imrd/directdoc.asp?DDFDocuments/u/G/TBTN21/SAU1201A2.docx")</f>
        <v>https://docs.wto.org/imrd/directdoc.asp?DDFDocuments/u/G/TBTN21/SAU1201A2.docx</v>
      </c>
      <c r="T315" t="str">
        <f>HYPERLINK("https://docs.wto.org/imrd/directdoc.asp?DDFDocuments/v/G/TBTN21/SAU1201A2.docx", "https://docs.wto.org/imrd/directdoc.asp?DDFDocuments/v/G/TBTN21/SAU1201A2.docx")</f>
        <v>https://docs.wto.org/imrd/directdoc.asp?DDFDocuments/v/G/TBTN21/SAU1201A2.docx</v>
      </c>
      <c r="U315" t="s">
        <v>64</v>
      </c>
      <c r="V315" t="s">
        <v>46</v>
      </c>
      <c r="W315" t="s">
        <v>46</v>
      </c>
      <c r="X315" t="s">
        <v>46</v>
      </c>
      <c r="Y315" t="s">
        <v>46</v>
      </c>
      <c r="Z315" t="s">
        <v>46</v>
      </c>
      <c r="AA315" t="s">
        <v>46</v>
      </c>
      <c r="AB315" s="2" t="s">
        <v>43</v>
      </c>
      <c r="AC315" t="s">
        <v>43</v>
      </c>
      <c r="AD315" t="s">
        <v>43</v>
      </c>
      <c r="AE315" t="s">
        <v>43</v>
      </c>
      <c r="AF315" t="s">
        <v>43</v>
      </c>
      <c r="AG315" t="s">
        <v>43</v>
      </c>
      <c r="AH315" s="2" t="s">
        <v>43</v>
      </c>
    </row>
    <row r="316" spans="1:34" ht="409.5">
      <c r="A316" s="6" t="s">
        <v>338</v>
      </c>
      <c r="B316" s="7">
        <v>46083</v>
      </c>
      <c r="C316" s="9" t="str">
        <f>HYPERLINK("https://eping.wto.org/en/Search?viewData= G/TBT/N/SAU/1113/Add.1"," G/TBT/N/SAU/1113/Add.1")</f>
        <v xml:space="preserve"> G/TBT/N/SAU/1113/Add.1</v>
      </c>
      <c r="D316" s="8" t="s">
        <v>1560</v>
      </c>
      <c r="E316" s="8" t="s">
        <v>1554</v>
      </c>
      <c r="F316" s="8" t="s">
        <v>1561</v>
      </c>
      <c r="G316" s="8" t="s">
        <v>1562</v>
      </c>
      <c r="H316" s="8" t="s">
        <v>1563</v>
      </c>
      <c r="I316" s="8" t="s">
        <v>1564</v>
      </c>
      <c r="J316" s="8" t="s">
        <v>43</v>
      </c>
      <c r="K316" s="8" t="s">
        <v>43</v>
      </c>
      <c r="L316" s="6"/>
      <c r="M316" s="7" t="s">
        <v>43</v>
      </c>
      <c r="N316" s="7"/>
      <c r="O316" s="7"/>
      <c r="P316" s="6" t="s">
        <v>44</v>
      </c>
      <c r="Q316" s="8" t="s">
        <v>1565</v>
      </c>
      <c r="R316" t="str">
        <f>HYPERLINK("https://docs.wto.org/imrd/directdoc.asp?DDFDocuments/t/G/TBTN19/SAU1113A1.docx", "https://docs.wto.org/imrd/directdoc.asp?DDFDocuments/t/G/TBTN19/SAU1113A1.docx")</f>
        <v>https://docs.wto.org/imrd/directdoc.asp?DDFDocuments/t/G/TBTN19/SAU1113A1.docx</v>
      </c>
      <c r="S316" t="str">
        <f>HYPERLINK("https://docs.wto.org/imrd/directdoc.asp?DDFDocuments/u/G/TBTN19/SAU1113A1.docx", "https://docs.wto.org/imrd/directdoc.asp?DDFDocuments/u/G/TBTN19/SAU1113A1.docx")</f>
        <v>https://docs.wto.org/imrd/directdoc.asp?DDFDocuments/u/G/TBTN19/SAU1113A1.docx</v>
      </c>
      <c r="T316" t="str">
        <f>HYPERLINK("https://docs.wto.org/imrd/directdoc.asp?DDFDocuments/v/G/TBTN19/SAU1113A1.docx", "https://docs.wto.org/imrd/directdoc.asp?DDFDocuments/v/G/TBTN19/SAU1113A1.docx")</f>
        <v>https://docs.wto.org/imrd/directdoc.asp?DDFDocuments/v/G/TBTN19/SAU1113A1.docx</v>
      </c>
      <c r="U316" t="s">
        <v>64</v>
      </c>
      <c r="V316" t="s">
        <v>46</v>
      </c>
      <c r="W316" t="s">
        <v>46</v>
      </c>
      <c r="X316" t="s">
        <v>46</v>
      </c>
      <c r="Y316" t="s">
        <v>46</v>
      </c>
      <c r="Z316" t="s">
        <v>46</v>
      </c>
      <c r="AA316" t="s">
        <v>46</v>
      </c>
      <c r="AB316" s="2" t="s">
        <v>43</v>
      </c>
      <c r="AC316" t="s">
        <v>43</v>
      </c>
      <c r="AD316" t="s">
        <v>43</v>
      </c>
      <c r="AE316" t="s">
        <v>43</v>
      </c>
      <c r="AF316" t="s">
        <v>43</v>
      </c>
      <c r="AG316" t="s">
        <v>43</v>
      </c>
      <c r="AH316" s="2" t="s">
        <v>43</v>
      </c>
    </row>
    <row r="317" spans="1:34" ht="45">
      <c r="A317" s="6" t="s">
        <v>47</v>
      </c>
      <c r="B317" s="7">
        <v>46083</v>
      </c>
      <c r="C317" s="9" t="str">
        <f>HYPERLINK("https://eping.wto.org/en/Search?viewData= G/TBT/N/CAN/773"," G/TBT/N/CAN/773")</f>
        <v xml:space="preserve"> G/TBT/N/CAN/773</v>
      </c>
      <c r="D317" s="8" t="s">
        <v>1566</v>
      </c>
      <c r="E317" s="8" t="s">
        <v>1567</v>
      </c>
      <c r="F317" s="8" t="s">
        <v>50</v>
      </c>
      <c r="G317" s="8" t="s">
        <v>43</v>
      </c>
      <c r="H317" s="8" t="s">
        <v>1568</v>
      </c>
      <c r="I317" s="8" t="s">
        <v>52</v>
      </c>
      <c r="J317" s="8" t="s">
        <v>53</v>
      </c>
      <c r="K317" s="8" t="s">
        <v>43</v>
      </c>
      <c r="L317" s="6"/>
      <c r="M317" s="7">
        <v>46171</v>
      </c>
      <c r="N317" s="7" t="s">
        <v>99</v>
      </c>
      <c r="O317" s="7" t="s">
        <v>99</v>
      </c>
      <c r="P317" s="6" t="s">
        <v>62</v>
      </c>
      <c r="Q317" s="8" t="s">
        <v>1569</v>
      </c>
      <c r="R317" t="str">
        <f>HYPERLINK("https://docs.wto.org/imrd/directdoc.asp?DDFDocuments/t/G/TBTN26/CAN773.docx", "https://docs.wto.org/imrd/directdoc.asp?DDFDocuments/t/G/TBTN26/CAN773.docx")</f>
        <v>https://docs.wto.org/imrd/directdoc.asp?DDFDocuments/t/G/TBTN26/CAN773.docx</v>
      </c>
      <c r="S317" t="str">
        <f>HYPERLINK("https://docs.wto.org/imrd/directdoc.asp?DDFDocuments/u/G/TBTN26/CAN773.docx", "https://docs.wto.org/imrd/directdoc.asp?DDFDocuments/u/G/TBTN26/CAN773.docx")</f>
        <v>https://docs.wto.org/imrd/directdoc.asp?DDFDocuments/u/G/TBTN26/CAN773.docx</v>
      </c>
      <c r="T317" t="str">
        <f>HYPERLINK("https://docs.wto.org/imrd/directdoc.asp?DDFDocuments/v/G/TBTN26/CAN773.docx", "https://docs.wto.org/imrd/directdoc.asp?DDFDocuments/v/G/TBTN26/CAN773.docx")</f>
        <v>https://docs.wto.org/imrd/directdoc.asp?DDFDocuments/v/G/TBTN26/CAN773.docx</v>
      </c>
      <c r="U317" t="s">
        <v>64</v>
      </c>
      <c r="V317" t="s">
        <v>46</v>
      </c>
      <c r="W317" t="s">
        <v>64</v>
      </c>
      <c r="X317" t="s">
        <v>46</v>
      </c>
      <c r="Y317" t="s">
        <v>46</v>
      </c>
      <c r="Z317" t="s">
        <v>46</v>
      </c>
      <c r="AA317" t="s">
        <v>46</v>
      </c>
      <c r="AB317" s="2" t="s">
        <v>99</v>
      </c>
      <c r="AC317" t="s">
        <v>43</v>
      </c>
      <c r="AD317" t="s">
        <v>43</v>
      </c>
      <c r="AE317" t="s">
        <v>43</v>
      </c>
      <c r="AF317" t="s">
        <v>43</v>
      </c>
      <c r="AG317" t="s">
        <v>43</v>
      </c>
      <c r="AH317" s="2" t="s">
        <v>43</v>
      </c>
    </row>
    <row r="318" spans="1:34" ht="60">
      <c r="A318" s="6" t="s">
        <v>356</v>
      </c>
      <c r="B318" s="7">
        <v>46083</v>
      </c>
      <c r="C318" s="9" t="str">
        <f>HYPERLINK("https://eping.wto.org/en/Search?viewData= G/TBT/N/EU/1194"," G/TBT/N/EU/1194")</f>
        <v xml:space="preserve"> G/TBT/N/EU/1194</v>
      </c>
      <c r="D318" s="8" t="s">
        <v>1570</v>
      </c>
      <c r="E318" s="8" t="s">
        <v>1571</v>
      </c>
      <c r="F318" s="8" t="s">
        <v>1572</v>
      </c>
      <c r="G318" s="8" t="s">
        <v>43</v>
      </c>
      <c r="H318" s="8" t="s">
        <v>1573</v>
      </c>
      <c r="I318" s="8" t="s">
        <v>1574</v>
      </c>
      <c r="J318" s="8" t="s">
        <v>1575</v>
      </c>
      <c r="K318" s="8" t="s">
        <v>43</v>
      </c>
      <c r="L318" s="6"/>
      <c r="M318" s="7">
        <v>46143</v>
      </c>
      <c r="N318" s="7" t="s">
        <v>1576</v>
      </c>
      <c r="O318" s="7" t="s">
        <v>1146</v>
      </c>
      <c r="P318" s="6" t="s">
        <v>62</v>
      </c>
      <c r="Q318" s="8" t="s">
        <v>1577</v>
      </c>
      <c r="R318" t="str">
        <f>HYPERLINK("https://docs.wto.org/imrd/directdoc.asp?DDFDocuments/t/G/TBTN26/EU1194.docx", "https://docs.wto.org/imrd/directdoc.asp?DDFDocuments/t/G/TBTN26/EU1194.docx")</f>
        <v>https://docs.wto.org/imrd/directdoc.asp?DDFDocuments/t/G/TBTN26/EU1194.docx</v>
      </c>
      <c r="S318" t="str">
        <f>HYPERLINK("https://docs.wto.org/imrd/directdoc.asp?DDFDocuments/u/G/TBTN26/EU1194.docx", "https://docs.wto.org/imrd/directdoc.asp?DDFDocuments/u/G/TBTN26/EU1194.docx")</f>
        <v>https://docs.wto.org/imrd/directdoc.asp?DDFDocuments/u/G/TBTN26/EU1194.docx</v>
      </c>
      <c r="T318" t="str">
        <f>HYPERLINK("https://docs.wto.org/imrd/directdoc.asp?DDFDocuments/v/G/TBTN26/EU1194.docx", "https://docs.wto.org/imrd/directdoc.asp?DDFDocuments/v/G/TBTN26/EU1194.docx")</f>
        <v>https://docs.wto.org/imrd/directdoc.asp?DDFDocuments/v/G/TBTN26/EU1194.docx</v>
      </c>
      <c r="U318" t="s">
        <v>64</v>
      </c>
      <c r="V318" t="s">
        <v>46</v>
      </c>
      <c r="W318" t="s">
        <v>46</v>
      </c>
      <c r="X318" t="s">
        <v>46</v>
      </c>
      <c r="Y318" t="s">
        <v>46</v>
      </c>
      <c r="Z318" t="s">
        <v>46</v>
      </c>
      <c r="AA318" t="s">
        <v>46</v>
      </c>
      <c r="AB318" s="2" t="s">
        <v>1578</v>
      </c>
      <c r="AC318" t="s">
        <v>43</v>
      </c>
      <c r="AD318" t="s">
        <v>43</v>
      </c>
      <c r="AE318" t="s">
        <v>43</v>
      </c>
      <c r="AF318" t="s">
        <v>43</v>
      </c>
      <c r="AG318" t="s">
        <v>43</v>
      </c>
      <c r="AH318" s="2" t="s">
        <v>43</v>
      </c>
    </row>
    <row r="319" spans="1:34" ht="135">
      <c r="A319" s="6" t="s">
        <v>338</v>
      </c>
      <c r="B319" s="7">
        <v>46083</v>
      </c>
      <c r="C319" s="9" t="str">
        <f>HYPERLINK("https://eping.wto.org/en/Search?viewData= G/TBT/N/SAU/1279/Add.1"," G/TBT/N/SAU/1279/Add.1")</f>
        <v xml:space="preserve"> G/TBT/N/SAU/1279/Add.1</v>
      </c>
      <c r="D319" s="8" t="s">
        <v>1579</v>
      </c>
      <c r="E319" s="8" t="s">
        <v>1554</v>
      </c>
      <c r="F319" s="8" t="s">
        <v>1580</v>
      </c>
      <c r="G319" s="8" t="s">
        <v>1581</v>
      </c>
      <c r="H319" s="8" t="s">
        <v>1582</v>
      </c>
      <c r="I319" s="8" t="s">
        <v>1583</v>
      </c>
      <c r="J319" s="8" t="s">
        <v>43</v>
      </c>
      <c r="K319" s="8" t="s">
        <v>43</v>
      </c>
      <c r="L319" s="6"/>
      <c r="M319" s="7" t="s">
        <v>43</v>
      </c>
      <c r="N319" s="7"/>
      <c r="O319" s="7"/>
      <c r="P319" s="6" t="s">
        <v>44</v>
      </c>
      <c r="Q319" s="8" t="s">
        <v>1584</v>
      </c>
      <c r="R319" t="str">
        <f>HYPERLINK("https://docs.wto.org/imrd/directdoc.asp?DDFDocuments/t/G/TBTN23/SAU1279A1.docx", "https://docs.wto.org/imrd/directdoc.asp?DDFDocuments/t/G/TBTN23/SAU1279A1.docx")</f>
        <v>https://docs.wto.org/imrd/directdoc.asp?DDFDocuments/t/G/TBTN23/SAU1279A1.docx</v>
      </c>
      <c r="S319" t="str">
        <f>HYPERLINK("https://docs.wto.org/imrd/directdoc.asp?DDFDocuments/u/G/TBTN23/SAU1279A1.docx", "https://docs.wto.org/imrd/directdoc.asp?DDFDocuments/u/G/TBTN23/SAU1279A1.docx")</f>
        <v>https://docs.wto.org/imrd/directdoc.asp?DDFDocuments/u/G/TBTN23/SAU1279A1.docx</v>
      </c>
      <c r="T319" t="str">
        <f>HYPERLINK("https://docs.wto.org/imrd/directdoc.asp?DDFDocuments/v/G/TBTN23/SAU1279A1.docx", "https://docs.wto.org/imrd/directdoc.asp?DDFDocuments/v/G/TBTN23/SAU1279A1.docx")</f>
        <v>https://docs.wto.org/imrd/directdoc.asp?DDFDocuments/v/G/TBTN23/SAU1279A1.docx</v>
      </c>
      <c r="U319" t="s">
        <v>64</v>
      </c>
      <c r="V319" t="s">
        <v>46</v>
      </c>
      <c r="W319" t="s">
        <v>46</v>
      </c>
      <c r="X319" t="s">
        <v>46</v>
      </c>
      <c r="Y319" t="s">
        <v>46</v>
      </c>
      <c r="Z319" t="s">
        <v>46</v>
      </c>
      <c r="AA319" t="s">
        <v>46</v>
      </c>
      <c r="AB319" s="2" t="s">
        <v>43</v>
      </c>
      <c r="AC319" t="s">
        <v>43</v>
      </c>
      <c r="AD319" t="s">
        <v>43</v>
      </c>
      <c r="AE319" t="s">
        <v>43</v>
      </c>
      <c r="AF319" t="s">
        <v>43</v>
      </c>
      <c r="AG319" t="s">
        <v>43</v>
      </c>
      <c r="AH319" s="2" t="s">
        <v>43</v>
      </c>
    </row>
    <row r="320" spans="1:34" ht="195">
      <c r="A320" s="6" t="s">
        <v>132</v>
      </c>
      <c r="B320" s="7">
        <v>46083</v>
      </c>
      <c r="C320" s="9" t="str">
        <f>HYPERLINK("https://eping.wto.org/en/Search?viewData= G/TBT/N/USA/2239/Add.1"," G/TBT/N/USA/2239/Add.1")</f>
        <v xml:space="preserve"> G/TBT/N/USA/2239/Add.1</v>
      </c>
      <c r="D320" s="8" t="s">
        <v>1585</v>
      </c>
      <c r="E320" s="8" t="s">
        <v>1586</v>
      </c>
      <c r="F320" s="8" t="s">
        <v>1587</v>
      </c>
      <c r="G320" s="8" t="s">
        <v>43</v>
      </c>
      <c r="H320" s="8" t="s">
        <v>1588</v>
      </c>
      <c r="I320" s="8" t="s">
        <v>322</v>
      </c>
      <c r="J320" s="8" t="s">
        <v>43</v>
      </c>
      <c r="K320" s="8" t="s">
        <v>43</v>
      </c>
      <c r="L320" s="6"/>
      <c r="M320" s="7" t="s">
        <v>43</v>
      </c>
      <c r="N320" s="7"/>
      <c r="O320" s="7"/>
      <c r="P320" s="6" t="s">
        <v>44</v>
      </c>
      <c r="Q320" s="8" t="s">
        <v>1589</v>
      </c>
      <c r="R320" t="str">
        <f>HYPERLINK("https://docs.wto.org/imrd/directdoc.asp?DDFDocuments/t/G/TBTN25/USA2239A1.docx", "https://docs.wto.org/imrd/directdoc.asp?DDFDocuments/t/G/TBTN25/USA2239A1.docx")</f>
        <v>https://docs.wto.org/imrd/directdoc.asp?DDFDocuments/t/G/TBTN25/USA2239A1.docx</v>
      </c>
      <c r="S320" t="str">
        <f>HYPERLINK("https://docs.wto.org/imrd/directdoc.asp?DDFDocuments/u/G/TBTN25/USA2239A1.docx", "https://docs.wto.org/imrd/directdoc.asp?DDFDocuments/u/G/TBTN25/USA2239A1.docx")</f>
        <v>https://docs.wto.org/imrd/directdoc.asp?DDFDocuments/u/G/TBTN25/USA2239A1.docx</v>
      </c>
      <c r="T320" t="str">
        <f>HYPERLINK("https://docs.wto.org/imrd/directdoc.asp?DDFDocuments/v/G/TBTN25/USA2239A1.docx", "https://docs.wto.org/imrd/directdoc.asp?DDFDocuments/v/G/TBTN25/USA2239A1.docx")</f>
        <v>https://docs.wto.org/imrd/directdoc.asp?DDFDocuments/v/G/TBTN25/USA2239A1.docx</v>
      </c>
      <c r="U320" t="s">
        <v>46</v>
      </c>
      <c r="V320" t="s">
        <v>46</v>
      </c>
      <c r="W320" t="s">
        <v>46</v>
      </c>
      <c r="X320" t="s">
        <v>46</v>
      </c>
      <c r="Y320" t="s">
        <v>46</v>
      </c>
      <c r="Z320" t="s">
        <v>46</v>
      </c>
      <c r="AA320" t="s">
        <v>46</v>
      </c>
      <c r="AB320" s="2" t="s">
        <v>43</v>
      </c>
      <c r="AC320" t="s">
        <v>43</v>
      </c>
      <c r="AD320" t="s">
        <v>43</v>
      </c>
      <c r="AE320" t="s">
        <v>43</v>
      </c>
      <c r="AF320" t="s">
        <v>43</v>
      </c>
      <c r="AG320" t="s">
        <v>43</v>
      </c>
      <c r="AH320" s="2" t="s">
        <v>43</v>
      </c>
    </row>
    <row r="321" spans="1:34" ht="45">
      <c r="A321" s="6" t="s">
        <v>338</v>
      </c>
      <c r="B321" s="7">
        <v>46083</v>
      </c>
      <c r="C321" s="9" t="str">
        <f>HYPERLINK("https://eping.wto.org/en/Search?viewData= G/TBT/N/SAU/1283/Add.1"," G/TBT/N/SAU/1283/Add.1")</f>
        <v xml:space="preserve"> G/TBT/N/SAU/1283/Add.1</v>
      </c>
      <c r="D321" s="8" t="s">
        <v>1590</v>
      </c>
      <c r="E321" s="8" t="s">
        <v>1591</v>
      </c>
      <c r="F321" s="8" t="s">
        <v>1592</v>
      </c>
      <c r="G321" s="8" t="s">
        <v>43</v>
      </c>
      <c r="H321" s="8" t="s">
        <v>1593</v>
      </c>
      <c r="I321" s="8" t="s">
        <v>1594</v>
      </c>
      <c r="J321" s="8" t="s">
        <v>1595</v>
      </c>
      <c r="K321" s="8" t="s">
        <v>43</v>
      </c>
      <c r="L321" s="6"/>
      <c r="M321" s="7" t="s">
        <v>43</v>
      </c>
      <c r="N321" s="7"/>
      <c r="O321" s="7"/>
      <c r="P321" s="6" t="s">
        <v>44</v>
      </c>
      <c r="Q321" s="8" t="s">
        <v>1596</v>
      </c>
      <c r="R321" t="str">
        <f>HYPERLINK("https://docs.wto.org/imrd/directdoc.asp?DDFDocuments/t/G/TBTN23/SAU1283A1.docx", "https://docs.wto.org/imrd/directdoc.asp?DDFDocuments/t/G/TBTN23/SAU1283A1.docx")</f>
        <v>https://docs.wto.org/imrd/directdoc.asp?DDFDocuments/t/G/TBTN23/SAU1283A1.docx</v>
      </c>
      <c r="S321" t="str">
        <f>HYPERLINK("https://docs.wto.org/imrd/directdoc.asp?DDFDocuments/u/G/TBTN23/SAU1283A1.docx", "https://docs.wto.org/imrd/directdoc.asp?DDFDocuments/u/G/TBTN23/SAU1283A1.docx")</f>
        <v>https://docs.wto.org/imrd/directdoc.asp?DDFDocuments/u/G/TBTN23/SAU1283A1.docx</v>
      </c>
      <c r="T321" t="str">
        <f>HYPERLINK("https://docs.wto.org/imrd/directdoc.asp?DDFDocuments/v/G/TBTN23/SAU1283A1.docx", "https://docs.wto.org/imrd/directdoc.asp?DDFDocuments/v/G/TBTN23/SAU1283A1.docx")</f>
        <v>https://docs.wto.org/imrd/directdoc.asp?DDFDocuments/v/G/TBTN23/SAU1283A1.docx</v>
      </c>
      <c r="U321" t="s">
        <v>46</v>
      </c>
      <c r="V321" t="s">
        <v>46</v>
      </c>
      <c r="W321" t="s">
        <v>64</v>
      </c>
      <c r="X321" t="s">
        <v>46</v>
      </c>
      <c r="Y321" t="s">
        <v>46</v>
      </c>
      <c r="Z321" t="s">
        <v>46</v>
      </c>
      <c r="AA321" t="s">
        <v>46</v>
      </c>
      <c r="AB321" s="2" t="s">
        <v>43</v>
      </c>
      <c r="AC321" t="s">
        <v>43</v>
      </c>
      <c r="AD321" t="s">
        <v>43</v>
      </c>
      <c r="AE321" t="s">
        <v>43</v>
      </c>
      <c r="AF321" t="s">
        <v>43</v>
      </c>
      <c r="AG321" t="s">
        <v>43</v>
      </c>
      <c r="AH321" s="2" t="s">
        <v>43</v>
      </c>
    </row>
    <row r="322" spans="1:34" ht="135">
      <c r="A322" s="6" t="s">
        <v>356</v>
      </c>
      <c r="B322" s="7">
        <v>46083</v>
      </c>
      <c r="C322" s="9" t="str">
        <f>HYPERLINK("https://eping.wto.org/en/Search?viewData= G/TBT/N/EU/1193"," G/TBT/N/EU/1193")</f>
        <v xml:space="preserve"> G/TBT/N/EU/1193</v>
      </c>
      <c r="D322" s="8" t="s">
        <v>1597</v>
      </c>
      <c r="E322" s="8" t="s">
        <v>1598</v>
      </c>
      <c r="F322" s="8" t="s">
        <v>1599</v>
      </c>
      <c r="G322" s="8" t="s">
        <v>43</v>
      </c>
      <c r="H322" s="8" t="s">
        <v>1573</v>
      </c>
      <c r="I322" s="8" t="s">
        <v>1574</v>
      </c>
      <c r="J322" s="8" t="s">
        <v>1600</v>
      </c>
      <c r="K322" s="8" t="s">
        <v>43</v>
      </c>
      <c r="L322" s="6"/>
      <c r="M322" s="7">
        <v>46143</v>
      </c>
      <c r="N322" s="7" t="s">
        <v>485</v>
      </c>
      <c r="O322" s="7" t="s">
        <v>1601</v>
      </c>
      <c r="P322" s="6" t="s">
        <v>62</v>
      </c>
      <c r="Q322" s="8" t="s">
        <v>1602</v>
      </c>
      <c r="R322" t="str">
        <f>HYPERLINK("https://docs.wto.org/imrd/directdoc.asp?DDFDocuments/t/G/TBTN26/EU1193.docx", "https://docs.wto.org/imrd/directdoc.asp?DDFDocuments/t/G/TBTN26/EU1193.docx")</f>
        <v>https://docs.wto.org/imrd/directdoc.asp?DDFDocuments/t/G/TBTN26/EU1193.docx</v>
      </c>
      <c r="S322" t="str">
        <f>HYPERLINK("https://docs.wto.org/imrd/directdoc.asp?DDFDocuments/u/G/TBTN26/EU1193.docx", "https://docs.wto.org/imrd/directdoc.asp?DDFDocuments/u/G/TBTN26/EU1193.docx")</f>
        <v>https://docs.wto.org/imrd/directdoc.asp?DDFDocuments/u/G/TBTN26/EU1193.docx</v>
      </c>
      <c r="T322" t="str">
        <f>HYPERLINK("https://docs.wto.org/imrd/directdoc.asp?DDFDocuments/v/G/TBTN26/EU1193.docx", "https://docs.wto.org/imrd/directdoc.asp?DDFDocuments/v/G/TBTN26/EU1193.docx")</f>
        <v>https://docs.wto.org/imrd/directdoc.asp?DDFDocuments/v/G/TBTN26/EU1193.docx</v>
      </c>
      <c r="U322" t="s">
        <v>64</v>
      </c>
      <c r="V322" t="s">
        <v>46</v>
      </c>
      <c r="W322" t="s">
        <v>46</v>
      </c>
      <c r="X322" t="s">
        <v>46</v>
      </c>
      <c r="Y322" t="s">
        <v>46</v>
      </c>
      <c r="Z322" t="s">
        <v>46</v>
      </c>
      <c r="AA322" t="s">
        <v>46</v>
      </c>
      <c r="AB322" s="2" t="s">
        <v>1578</v>
      </c>
      <c r="AC322" t="s">
        <v>43</v>
      </c>
      <c r="AD322" t="s">
        <v>43</v>
      </c>
      <c r="AE322" t="s">
        <v>43</v>
      </c>
      <c r="AF322" t="s">
        <v>43</v>
      </c>
      <c r="AG322" t="s">
        <v>43</v>
      </c>
      <c r="AH322" s="2" t="s">
        <v>43</v>
      </c>
    </row>
    <row r="323" spans="1:34" ht="60">
      <c r="A323" s="6" t="s">
        <v>1603</v>
      </c>
      <c r="B323" s="7">
        <v>46083</v>
      </c>
      <c r="C323" s="9" t="str">
        <f>HYPERLINK("https://eping.wto.org/en/Search?viewData= G/SPS/N/ARM/65"," G/SPS/N/ARM/65")</f>
        <v xml:space="preserve"> G/SPS/N/ARM/65</v>
      </c>
      <c r="D323" s="8" t="s">
        <v>1604</v>
      </c>
      <c r="E323" s="8" t="s">
        <v>1605</v>
      </c>
      <c r="F323" s="8" t="s">
        <v>1606</v>
      </c>
      <c r="G323" s="8" t="s">
        <v>43</v>
      </c>
      <c r="H323" s="8" t="s">
        <v>43</v>
      </c>
      <c r="I323" s="8" t="s">
        <v>104</v>
      </c>
      <c r="J323" s="8" t="s">
        <v>43</v>
      </c>
      <c r="K323" s="8" t="s">
        <v>530</v>
      </c>
      <c r="L323" s="6" t="s">
        <v>43</v>
      </c>
      <c r="M323" s="7">
        <v>46122</v>
      </c>
      <c r="N323" s="7" t="s">
        <v>304</v>
      </c>
      <c r="O323" s="7" t="s">
        <v>304</v>
      </c>
      <c r="P323" s="6" t="s">
        <v>62</v>
      </c>
      <c r="Q323" s="8" t="s">
        <v>1607</v>
      </c>
      <c r="R323" t="str">
        <f>HYPERLINK("https://docs.wto.org/imrd/directdoc.asp?DDFDocuments/t/G/SPS/NARM65.docx", "https://docs.wto.org/imrd/directdoc.asp?DDFDocuments/t/G/SPS/NARM65.docx")</f>
        <v>https://docs.wto.org/imrd/directdoc.asp?DDFDocuments/t/G/SPS/NARM65.docx</v>
      </c>
      <c r="S323" t="str">
        <f>HYPERLINK("https://docs.wto.org/imrd/directdoc.asp?DDFDocuments/u/G/SPS/NARM65.docx", "https://docs.wto.org/imrd/directdoc.asp?DDFDocuments/u/G/SPS/NARM65.docx")</f>
        <v>https://docs.wto.org/imrd/directdoc.asp?DDFDocuments/u/G/SPS/NARM65.docx</v>
      </c>
      <c r="T323" t="str">
        <f>HYPERLINK("https://docs.wto.org/imrd/directdoc.asp?DDFDocuments/v/G/SPS/NARM65.docx", "https://docs.wto.org/imrd/directdoc.asp?DDFDocuments/v/G/SPS/NARM65.docx")</f>
        <v>https://docs.wto.org/imrd/directdoc.asp?DDFDocuments/v/G/SPS/NARM65.docx</v>
      </c>
      <c r="U323" t="s">
        <v>43</v>
      </c>
      <c r="V323" t="s">
        <v>43</v>
      </c>
      <c r="W323" t="s">
        <v>43</v>
      </c>
      <c r="X323" t="s">
        <v>43</v>
      </c>
      <c r="Y323" t="s">
        <v>43</v>
      </c>
      <c r="Z323" t="s">
        <v>43</v>
      </c>
      <c r="AA323" t="s">
        <v>43</v>
      </c>
      <c r="AB323" s="2" t="s">
        <v>43</v>
      </c>
      <c r="AC323" t="s">
        <v>46</v>
      </c>
      <c r="AD323" t="s">
        <v>64</v>
      </c>
      <c r="AE323" t="s">
        <v>46</v>
      </c>
      <c r="AF323" t="s">
        <v>46</v>
      </c>
      <c r="AG323" t="s">
        <v>64</v>
      </c>
      <c r="AH323" s="2" t="s">
        <v>43</v>
      </c>
    </row>
    <row r="324" spans="1:34" ht="45">
      <c r="A324" s="6" t="s">
        <v>47</v>
      </c>
      <c r="B324" s="7">
        <v>46083</v>
      </c>
      <c r="C324" s="9" t="str">
        <f>HYPERLINK("https://eping.wto.org/en/Search?viewData= G/TBT/N/CAN/772"," G/TBT/N/CAN/772")</f>
        <v xml:space="preserve"> G/TBT/N/CAN/772</v>
      </c>
      <c r="D324" s="8" t="s">
        <v>1608</v>
      </c>
      <c r="E324" s="8" t="s">
        <v>1609</v>
      </c>
      <c r="F324" s="8" t="s">
        <v>50</v>
      </c>
      <c r="G324" s="8" t="s">
        <v>43</v>
      </c>
      <c r="H324" s="8" t="s">
        <v>1568</v>
      </c>
      <c r="I324" s="8" t="s">
        <v>52</v>
      </c>
      <c r="J324" s="8" t="s">
        <v>53</v>
      </c>
      <c r="K324" s="8" t="s">
        <v>43</v>
      </c>
      <c r="L324" s="6"/>
      <c r="M324" s="7">
        <v>46171</v>
      </c>
      <c r="N324" s="7" t="s">
        <v>99</v>
      </c>
      <c r="O324" s="7" t="s">
        <v>99</v>
      </c>
      <c r="P324" s="6" t="s">
        <v>62</v>
      </c>
      <c r="Q324" s="8" t="s">
        <v>1569</v>
      </c>
      <c r="R324" t="str">
        <f>HYPERLINK("https://docs.wto.org/imrd/directdoc.asp?DDFDocuments/t/G/TBTN26/CAN772.docx", "https://docs.wto.org/imrd/directdoc.asp?DDFDocuments/t/G/TBTN26/CAN772.docx")</f>
        <v>https://docs.wto.org/imrd/directdoc.asp?DDFDocuments/t/G/TBTN26/CAN772.docx</v>
      </c>
      <c r="S324" t="str">
        <f>HYPERLINK("https://docs.wto.org/imrd/directdoc.asp?DDFDocuments/u/G/TBTN26/CAN772.docx", "https://docs.wto.org/imrd/directdoc.asp?DDFDocuments/u/G/TBTN26/CAN772.docx")</f>
        <v>https://docs.wto.org/imrd/directdoc.asp?DDFDocuments/u/G/TBTN26/CAN772.docx</v>
      </c>
      <c r="T324" t="str">
        <f>HYPERLINK("https://docs.wto.org/imrd/directdoc.asp?DDFDocuments/v/G/TBTN26/CAN772.docx", "https://docs.wto.org/imrd/directdoc.asp?DDFDocuments/v/G/TBTN26/CAN772.docx")</f>
        <v>https://docs.wto.org/imrd/directdoc.asp?DDFDocuments/v/G/TBTN26/CAN772.docx</v>
      </c>
      <c r="U324" t="s">
        <v>64</v>
      </c>
      <c r="V324" t="s">
        <v>46</v>
      </c>
      <c r="W324" t="s">
        <v>64</v>
      </c>
      <c r="X324" t="s">
        <v>46</v>
      </c>
      <c r="Y324" t="s">
        <v>46</v>
      </c>
      <c r="Z324" t="s">
        <v>46</v>
      </c>
      <c r="AA324" t="s">
        <v>46</v>
      </c>
      <c r="AB324" s="2" t="s">
        <v>99</v>
      </c>
      <c r="AC324" t="s">
        <v>43</v>
      </c>
      <c r="AD324" t="s">
        <v>43</v>
      </c>
      <c r="AE324" t="s">
        <v>43</v>
      </c>
      <c r="AF324" t="s">
        <v>43</v>
      </c>
      <c r="AG324" t="s">
        <v>43</v>
      </c>
      <c r="AH324" s="2" t="s">
        <v>43</v>
      </c>
    </row>
    <row r="325" spans="1:34" ht="120">
      <c r="A325" s="6" t="s">
        <v>338</v>
      </c>
      <c r="B325" s="7">
        <v>46083</v>
      </c>
      <c r="C325" s="9" t="str">
        <f>HYPERLINK("https://eping.wto.org/en/Search?viewData= G/TBT/N/SAU/1040/Add.1"," G/TBT/N/SAU/1040/Add.1")</f>
        <v xml:space="preserve"> G/TBT/N/SAU/1040/Add.1</v>
      </c>
      <c r="D325" s="8" t="s">
        <v>1610</v>
      </c>
      <c r="E325" s="8" t="s">
        <v>1554</v>
      </c>
      <c r="F325" s="8" t="s">
        <v>1611</v>
      </c>
      <c r="G325" s="8" t="s">
        <v>1612</v>
      </c>
      <c r="H325" s="8" t="s">
        <v>1613</v>
      </c>
      <c r="I325" s="8" t="s">
        <v>343</v>
      </c>
      <c r="J325" s="8" t="s">
        <v>344</v>
      </c>
      <c r="K325" s="8" t="s">
        <v>43</v>
      </c>
      <c r="L325" s="6"/>
      <c r="M325" s="7" t="s">
        <v>43</v>
      </c>
      <c r="N325" s="7"/>
      <c r="O325" s="7"/>
      <c r="P325" s="6" t="s">
        <v>44</v>
      </c>
      <c r="Q325" s="8" t="s">
        <v>1614</v>
      </c>
      <c r="R325" t="str">
        <f>HYPERLINK("https://docs.wto.org/imrd/directdoc.asp?DDFDocuments/t/G/TBTN18/SAU1040A1.docx", "https://docs.wto.org/imrd/directdoc.asp?DDFDocuments/t/G/TBTN18/SAU1040A1.docx")</f>
        <v>https://docs.wto.org/imrd/directdoc.asp?DDFDocuments/t/G/TBTN18/SAU1040A1.docx</v>
      </c>
      <c r="S325" t="str">
        <f>HYPERLINK("https://docs.wto.org/imrd/directdoc.asp?DDFDocuments/u/G/TBTN18/SAU1040A1.docx", "https://docs.wto.org/imrd/directdoc.asp?DDFDocuments/u/G/TBTN18/SAU1040A1.docx")</f>
        <v>https://docs.wto.org/imrd/directdoc.asp?DDFDocuments/u/G/TBTN18/SAU1040A1.docx</v>
      </c>
      <c r="T325" t="str">
        <f>HYPERLINK("https://docs.wto.org/imrd/directdoc.asp?DDFDocuments/v/G/TBTN18/SAU1040A1.docx", "https://docs.wto.org/imrd/directdoc.asp?DDFDocuments/v/G/TBTN18/SAU1040A1.docx")</f>
        <v>https://docs.wto.org/imrd/directdoc.asp?DDFDocuments/v/G/TBTN18/SAU1040A1.docx</v>
      </c>
      <c r="U325" t="s">
        <v>64</v>
      </c>
      <c r="V325" t="s">
        <v>46</v>
      </c>
      <c r="W325" t="s">
        <v>46</v>
      </c>
      <c r="X325" t="s">
        <v>46</v>
      </c>
      <c r="Y325" t="s">
        <v>46</v>
      </c>
      <c r="Z325" t="s">
        <v>46</v>
      </c>
      <c r="AA325" t="s">
        <v>46</v>
      </c>
      <c r="AB325" s="2" t="s">
        <v>43</v>
      </c>
      <c r="AC325" t="s">
        <v>43</v>
      </c>
      <c r="AD325" t="s">
        <v>43</v>
      </c>
      <c r="AE325" t="s">
        <v>43</v>
      </c>
      <c r="AF325" t="s">
        <v>43</v>
      </c>
      <c r="AG325" t="s">
        <v>43</v>
      </c>
      <c r="AH325" s="2" t="s">
        <v>43</v>
      </c>
    </row>
    <row r="326" spans="1:34" ht="135">
      <c r="A326" s="6" t="s">
        <v>356</v>
      </c>
      <c r="B326" s="7">
        <v>46083</v>
      </c>
      <c r="C326" s="9" t="str">
        <f>HYPERLINK("https://eping.wto.org/en/Search?viewData= G/SPS/N/EU/702/Add.1"," G/SPS/N/EU/702/Add.1")</f>
        <v xml:space="preserve"> G/SPS/N/EU/702/Add.1</v>
      </c>
      <c r="D326" s="8" t="s">
        <v>1615</v>
      </c>
      <c r="E326" s="8" t="s">
        <v>1616</v>
      </c>
      <c r="F326" s="8" t="s">
        <v>1617</v>
      </c>
      <c r="G326" s="8" t="s">
        <v>1618</v>
      </c>
      <c r="H326" s="8" t="s">
        <v>43</v>
      </c>
      <c r="I326" s="8" t="s">
        <v>58</v>
      </c>
      <c r="J326" s="8" t="s">
        <v>43</v>
      </c>
      <c r="K326" s="8" t="s">
        <v>1619</v>
      </c>
      <c r="L326" s="6"/>
      <c r="M326" s="7">
        <v>46143</v>
      </c>
      <c r="N326" s="7"/>
      <c r="O326" s="7"/>
      <c r="P326" s="6" t="s">
        <v>44</v>
      </c>
      <c r="Q326" s="8" t="s">
        <v>1620</v>
      </c>
      <c r="R326" t="str">
        <f>HYPERLINK("https://docs.wto.org/imrd/directdoc.asp?DDFDocuments/t/G/SPS/NEU702A1.docx", "https://docs.wto.org/imrd/directdoc.asp?DDFDocuments/t/G/SPS/NEU702A1.docx")</f>
        <v>https://docs.wto.org/imrd/directdoc.asp?DDFDocuments/t/G/SPS/NEU702A1.docx</v>
      </c>
      <c r="S326" t="str">
        <f>HYPERLINK("https://docs.wto.org/imrd/directdoc.asp?DDFDocuments/u/G/SPS/NEU702A1.docx", "https://docs.wto.org/imrd/directdoc.asp?DDFDocuments/u/G/SPS/NEU702A1.docx")</f>
        <v>https://docs.wto.org/imrd/directdoc.asp?DDFDocuments/u/G/SPS/NEU702A1.docx</v>
      </c>
      <c r="T326" t="str">
        <f>HYPERLINK("https://docs.wto.org/imrd/directdoc.asp?DDFDocuments/v/G/SPS/NEU702A1.docx", "https://docs.wto.org/imrd/directdoc.asp?DDFDocuments/v/G/SPS/NEU702A1.docx")</f>
        <v>https://docs.wto.org/imrd/directdoc.asp?DDFDocuments/v/G/SPS/NEU702A1.docx</v>
      </c>
      <c r="U326" t="s">
        <v>43</v>
      </c>
      <c r="V326" t="s">
        <v>43</v>
      </c>
      <c r="W326" t="s">
        <v>43</v>
      </c>
      <c r="X326" t="s">
        <v>43</v>
      </c>
      <c r="Y326" t="s">
        <v>43</v>
      </c>
      <c r="Z326" t="s">
        <v>43</v>
      </c>
      <c r="AA326" t="s">
        <v>43</v>
      </c>
      <c r="AB326" s="2" t="s">
        <v>43</v>
      </c>
      <c r="AC326" t="s">
        <v>43</v>
      </c>
      <c r="AD326" t="s">
        <v>43</v>
      </c>
      <c r="AE326" t="s">
        <v>43</v>
      </c>
      <c r="AF326" t="s">
        <v>43</v>
      </c>
      <c r="AG326" t="s">
        <v>43</v>
      </c>
      <c r="AH326" s="2" t="s">
        <v>43</v>
      </c>
    </row>
    <row r="327" spans="1:34" ht="315">
      <c r="A327" s="6" t="s">
        <v>158</v>
      </c>
      <c r="B327" s="7">
        <v>46083</v>
      </c>
      <c r="C327" s="9" t="str">
        <f>HYPERLINK("https://eping.wto.org/en/Search?viewData= G/TBT/N/UKR/371"," G/TBT/N/UKR/371")</f>
        <v xml:space="preserve"> G/TBT/N/UKR/371</v>
      </c>
      <c r="D327" s="8" t="s">
        <v>1621</v>
      </c>
      <c r="E327" s="8" t="s">
        <v>1622</v>
      </c>
      <c r="F327" s="8" t="s">
        <v>1623</v>
      </c>
      <c r="G327" s="8" t="s">
        <v>1624</v>
      </c>
      <c r="H327" s="8" t="s">
        <v>1625</v>
      </c>
      <c r="I327" s="8" t="s">
        <v>1626</v>
      </c>
      <c r="J327" s="8" t="s">
        <v>43</v>
      </c>
      <c r="K327" s="8" t="s">
        <v>240</v>
      </c>
      <c r="L327" s="6"/>
      <c r="M327" s="7">
        <v>46143</v>
      </c>
      <c r="N327" s="7" t="s">
        <v>79</v>
      </c>
      <c r="O327" s="7" t="s">
        <v>1627</v>
      </c>
      <c r="P327" s="6" t="s">
        <v>62</v>
      </c>
      <c r="Q327" s="8" t="s">
        <v>1628</v>
      </c>
      <c r="R327" t="str">
        <f>HYPERLINK("https://docs.wto.org/imrd/directdoc.asp?DDFDocuments/t/G/TBTN26/UKR371.docx", "https://docs.wto.org/imrd/directdoc.asp?DDFDocuments/t/G/TBTN26/UKR371.docx")</f>
        <v>https://docs.wto.org/imrd/directdoc.asp?DDFDocuments/t/G/TBTN26/UKR371.docx</v>
      </c>
      <c r="S327" t="str">
        <f>HYPERLINK("https://docs.wto.org/imrd/directdoc.asp?DDFDocuments/u/G/TBTN26/UKR371.docx", "https://docs.wto.org/imrd/directdoc.asp?DDFDocuments/u/G/TBTN26/UKR371.docx")</f>
        <v>https://docs.wto.org/imrd/directdoc.asp?DDFDocuments/u/G/TBTN26/UKR371.docx</v>
      </c>
      <c r="T327" t="str">
        <f>HYPERLINK("https://docs.wto.org/imrd/directdoc.asp?DDFDocuments/v/G/TBTN26/UKR371.docx", "https://docs.wto.org/imrd/directdoc.asp?DDFDocuments/v/G/TBTN26/UKR371.docx")</f>
        <v>https://docs.wto.org/imrd/directdoc.asp?DDFDocuments/v/G/TBTN26/UKR371.docx</v>
      </c>
      <c r="U327" t="s">
        <v>64</v>
      </c>
      <c r="V327" t="s">
        <v>46</v>
      </c>
      <c r="W327" t="s">
        <v>64</v>
      </c>
      <c r="X327" t="s">
        <v>46</v>
      </c>
      <c r="Y327" t="s">
        <v>46</v>
      </c>
      <c r="Z327" t="s">
        <v>46</v>
      </c>
      <c r="AA327" t="s">
        <v>46</v>
      </c>
      <c r="AB327" s="2" t="s">
        <v>1629</v>
      </c>
      <c r="AC327" t="s">
        <v>43</v>
      </c>
      <c r="AD327" t="s">
        <v>43</v>
      </c>
      <c r="AE327" t="s">
        <v>43</v>
      </c>
      <c r="AF327" t="s">
        <v>43</v>
      </c>
      <c r="AG327" t="s">
        <v>43</v>
      </c>
      <c r="AH327" s="2" t="s">
        <v>43</v>
      </c>
    </row>
    <row r="328" spans="1:34" ht="409.5">
      <c r="A328" s="6" t="s">
        <v>338</v>
      </c>
      <c r="B328" s="7">
        <v>46083</v>
      </c>
      <c r="C328" s="9" t="str">
        <f>HYPERLINK("https://eping.wto.org/en/Search?viewData= G/TBT/N/SAU/924/Add.1"," G/TBT/N/SAU/924/Add.1")</f>
        <v xml:space="preserve"> G/TBT/N/SAU/924/Add.1</v>
      </c>
      <c r="D328" s="8" t="s">
        <v>1630</v>
      </c>
      <c r="E328" s="8" t="s">
        <v>1554</v>
      </c>
      <c r="F328" s="8" t="s">
        <v>1631</v>
      </c>
      <c r="G328" s="8" t="s">
        <v>1632</v>
      </c>
      <c r="H328" s="8" t="s">
        <v>1633</v>
      </c>
      <c r="I328" s="8" t="s">
        <v>343</v>
      </c>
      <c r="J328" s="8" t="s">
        <v>1634</v>
      </c>
      <c r="K328" s="8" t="s">
        <v>43</v>
      </c>
      <c r="L328" s="6"/>
      <c r="M328" s="7" t="s">
        <v>43</v>
      </c>
      <c r="N328" s="7"/>
      <c r="O328" s="7"/>
      <c r="P328" s="6" t="s">
        <v>44</v>
      </c>
      <c r="Q328" s="8" t="s">
        <v>1635</v>
      </c>
      <c r="R328" t="str">
        <f>HYPERLINK("https://docs.wto.org/imrd/directdoc.asp?DDFDocuments/t/G/TBTN16/SAU924A1.docx", "https://docs.wto.org/imrd/directdoc.asp?DDFDocuments/t/G/TBTN16/SAU924A1.docx")</f>
        <v>https://docs.wto.org/imrd/directdoc.asp?DDFDocuments/t/G/TBTN16/SAU924A1.docx</v>
      </c>
      <c r="S328" t="str">
        <f>HYPERLINK("https://docs.wto.org/imrd/directdoc.asp?DDFDocuments/u/G/TBTN16/SAU924A1.docx", "https://docs.wto.org/imrd/directdoc.asp?DDFDocuments/u/G/TBTN16/SAU924A1.docx")</f>
        <v>https://docs.wto.org/imrd/directdoc.asp?DDFDocuments/u/G/TBTN16/SAU924A1.docx</v>
      </c>
      <c r="T328" t="str">
        <f>HYPERLINK("https://docs.wto.org/imrd/directdoc.asp?DDFDocuments/v/G/TBTN16/SAU924A1.docx", "https://docs.wto.org/imrd/directdoc.asp?DDFDocuments/v/G/TBTN16/SAU924A1.docx")</f>
        <v>https://docs.wto.org/imrd/directdoc.asp?DDFDocuments/v/G/TBTN16/SAU924A1.docx</v>
      </c>
      <c r="U328" t="s">
        <v>64</v>
      </c>
      <c r="V328" t="s">
        <v>46</v>
      </c>
      <c r="W328" t="s">
        <v>46</v>
      </c>
      <c r="X328" t="s">
        <v>46</v>
      </c>
      <c r="Y328" t="s">
        <v>46</v>
      </c>
      <c r="Z328" t="s">
        <v>46</v>
      </c>
      <c r="AA328" t="s">
        <v>46</v>
      </c>
      <c r="AB328" s="2" t="s">
        <v>43</v>
      </c>
      <c r="AC328" t="s">
        <v>43</v>
      </c>
      <c r="AD328" t="s">
        <v>43</v>
      </c>
      <c r="AE328" t="s">
        <v>43</v>
      </c>
      <c r="AF328" t="s">
        <v>43</v>
      </c>
      <c r="AG328" t="s">
        <v>43</v>
      </c>
      <c r="AH328" s="2" t="s">
        <v>43</v>
      </c>
    </row>
    <row r="329" spans="1:34" ht="150">
      <c r="A329" s="6" t="s">
        <v>132</v>
      </c>
      <c r="B329" s="7">
        <v>46083</v>
      </c>
      <c r="C329" s="9" t="str">
        <f>HYPERLINK("https://eping.wto.org/en/Search?viewData= G/TBT/N/USA/2264"," G/TBT/N/USA/2264")</f>
        <v xml:space="preserve"> G/TBT/N/USA/2264</v>
      </c>
      <c r="D329" s="8" t="s">
        <v>1636</v>
      </c>
      <c r="E329" s="8" t="s">
        <v>1637</v>
      </c>
      <c r="F329" s="8" t="s">
        <v>1638</v>
      </c>
      <c r="G329" s="8" t="s">
        <v>43</v>
      </c>
      <c r="H329" s="8" t="s">
        <v>1639</v>
      </c>
      <c r="I329" s="8" t="s">
        <v>137</v>
      </c>
      <c r="J329" s="8" t="s">
        <v>43</v>
      </c>
      <c r="K329" s="8" t="s">
        <v>43</v>
      </c>
      <c r="L329" s="6"/>
      <c r="M329" s="7" t="s">
        <v>43</v>
      </c>
      <c r="N329" s="7">
        <v>46111</v>
      </c>
      <c r="O329" s="7">
        <v>46111</v>
      </c>
      <c r="P329" s="6" t="s">
        <v>62</v>
      </c>
      <c r="Q329" s="8" t="s">
        <v>1640</v>
      </c>
      <c r="R329" t="str">
        <f>HYPERLINK("https://docs.wto.org/imrd/directdoc.asp?DDFDocuments/t/G/TBTN26/USA2264.docx", "https://docs.wto.org/imrd/directdoc.asp?DDFDocuments/t/G/TBTN26/USA2264.docx")</f>
        <v>https://docs.wto.org/imrd/directdoc.asp?DDFDocuments/t/G/TBTN26/USA2264.docx</v>
      </c>
      <c r="S329" t="str">
        <f>HYPERLINK("https://docs.wto.org/imrd/directdoc.asp?DDFDocuments/u/G/TBTN26/USA2264.docx", "https://docs.wto.org/imrd/directdoc.asp?DDFDocuments/u/G/TBTN26/USA2264.docx")</f>
        <v>https://docs.wto.org/imrd/directdoc.asp?DDFDocuments/u/G/TBTN26/USA2264.docx</v>
      </c>
      <c r="T329" t="str">
        <f>HYPERLINK("https://docs.wto.org/imrd/directdoc.asp?DDFDocuments/v/G/TBTN26/USA2264.docx", "https://docs.wto.org/imrd/directdoc.asp?DDFDocuments/v/G/TBTN26/USA2264.docx")</f>
        <v>https://docs.wto.org/imrd/directdoc.asp?DDFDocuments/v/G/TBTN26/USA2264.docx</v>
      </c>
      <c r="U329" t="s">
        <v>46</v>
      </c>
      <c r="V329" t="s">
        <v>46</v>
      </c>
      <c r="W329" t="s">
        <v>46</v>
      </c>
      <c r="X329" t="s">
        <v>46</v>
      </c>
      <c r="Y329" t="s">
        <v>46</v>
      </c>
      <c r="Z329" t="s">
        <v>46</v>
      </c>
      <c r="AA329" t="s">
        <v>64</v>
      </c>
      <c r="AB329" s="2" t="s">
        <v>1641</v>
      </c>
      <c r="AC329" t="s">
        <v>43</v>
      </c>
      <c r="AD329" t="s">
        <v>43</v>
      </c>
      <c r="AE329" t="s">
        <v>43</v>
      </c>
      <c r="AF329" t="s">
        <v>43</v>
      </c>
      <c r="AG329" t="s">
        <v>43</v>
      </c>
      <c r="AH329" s="2" t="s">
        <v>43</v>
      </c>
    </row>
    <row r="330" spans="1:34" ht="285">
      <c r="A330" s="6" t="s">
        <v>132</v>
      </c>
      <c r="B330" s="7">
        <v>46083</v>
      </c>
      <c r="C330" s="9" t="str">
        <f>HYPERLINK("https://eping.wto.org/en/Search?viewData= G/TBT/N/USA/2263"," G/TBT/N/USA/2263")</f>
        <v xml:space="preserve"> G/TBT/N/USA/2263</v>
      </c>
      <c r="D330" s="8" t="s">
        <v>1642</v>
      </c>
      <c r="E330" s="8" t="s">
        <v>1643</v>
      </c>
      <c r="F330" s="8" t="s">
        <v>1644</v>
      </c>
      <c r="G330" s="8" t="s">
        <v>43</v>
      </c>
      <c r="H330" s="8" t="s">
        <v>1645</v>
      </c>
      <c r="I330" s="8" t="s">
        <v>1646</v>
      </c>
      <c r="J330" s="8" t="s">
        <v>43</v>
      </c>
      <c r="K330" s="8" t="s">
        <v>43</v>
      </c>
      <c r="L330" s="6"/>
      <c r="M330" s="7">
        <v>46140</v>
      </c>
      <c r="N330" s="7" t="s">
        <v>79</v>
      </c>
      <c r="O330" s="7" t="s">
        <v>79</v>
      </c>
      <c r="P330" s="6" t="s">
        <v>62</v>
      </c>
      <c r="Q330" s="8" t="s">
        <v>1647</v>
      </c>
      <c r="R330" t="str">
        <f>HYPERLINK("https://docs.wto.org/imrd/directdoc.asp?DDFDocuments/t/G/TBTN26/USA2263.docx", "https://docs.wto.org/imrd/directdoc.asp?DDFDocuments/t/G/TBTN26/USA2263.docx")</f>
        <v>https://docs.wto.org/imrd/directdoc.asp?DDFDocuments/t/G/TBTN26/USA2263.docx</v>
      </c>
      <c r="S330" t="str">
        <f>HYPERLINK("https://docs.wto.org/imrd/directdoc.asp?DDFDocuments/u/G/TBTN26/USA2263.docx", "https://docs.wto.org/imrd/directdoc.asp?DDFDocuments/u/G/TBTN26/USA2263.docx")</f>
        <v>https://docs.wto.org/imrd/directdoc.asp?DDFDocuments/u/G/TBTN26/USA2263.docx</v>
      </c>
      <c r="T330" t="str">
        <f>HYPERLINK("https://docs.wto.org/imrd/directdoc.asp?DDFDocuments/v/G/TBTN26/USA2263.docx", "https://docs.wto.org/imrd/directdoc.asp?DDFDocuments/v/G/TBTN26/USA2263.docx")</f>
        <v>https://docs.wto.org/imrd/directdoc.asp?DDFDocuments/v/G/TBTN26/USA2263.docx</v>
      </c>
      <c r="U330" t="s">
        <v>64</v>
      </c>
      <c r="V330" t="s">
        <v>46</v>
      </c>
      <c r="W330" t="s">
        <v>64</v>
      </c>
      <c r="X330" t="s">
        <v>46</v>
      </c>
      <c r="Y330" t="s">
        <v>46</v>
      </c>
      <c r="Z330" t="s">
        <v>46</v>
      </c>
      <c r="AA330" t="s">
        <v>46</v>
      </c>
      <c r="AB330" s="2" t="s">
        <v>1648</v>
      </c>
      <c r="AC330" t="s">
        <v>43</v>
      </c>
      <c r="AD330" t="s">
        <v>43</v>
      </c>
      <c r="AE330" t="s">
        <v>43</v>
      </c>
      <c r="AF330" t="s">
        <v>43</v>
      </c>
      <c r="AG330" t="s">
        <v>43</v>
      </c>
      <c r="AH330" s="2" t="s">
        <v>43</v>
      </c>
    </row>
    <row r="331" spans="1:34" ht="409.5">
      <c r="A331" s="6" t="s">
        <v>1649</v>
      </c>
      <c r="B331" s="7">
        <v>46083</v>
      </c>
      <c r="C331" s="9" t="str">
        <f>HYPERLINK("https://eping.wto.org/en/Search?viewData= G/TBT/N/VNM/393"," G/TBT/N/VNM/393")</f>
        <v xml:space="preserve"> G/TBT/N/VNM/393</v>
      </c>
      <c r="D331" s="8" t="s">
        <v>1650</v>
      </c>
      <c r="E331" s="8" t="s">
        <v>1651</v>
      </c>
      <c r="F331" s="8" t="s">
        <v>1652</v>
      </c>
      <c r="G331" s="8" t="s">
        <v>1653</v>
      </c>
      <c r="H331" s="8" t="s">
        <v>738</v>
      </c>
      <c r="I331" s="8" t="s">
        <v>275</v>
      </c>
      <c r="J331" s="8" t="s">
        <v>1654</v>
      </c>
      <c r="K331" s="8" t="s">
        <v>43</v>
      </c>
      <c r="L331" s="6"/>
      <c r="M331" s="7">
        <v>46143</v>
      </c>
      <c r="N331" s="7" t="s">
        <v>79</v>
      </c>
      <c r="O331" s="7">
        <v>46204</v>
      </c>
      <c r="P331" s="6" t="s">
        <v>62</v>
      </c>
      <c r="Q331" s="8" t="s">
        <v>1655</v>
      </c>
      <c r="R331" t="str">
        <f>HYPERLINK("https://docs.wto.org/imrd/directdoc.asp?DDFDocuments/t/G/TBTN26/VNM393.docx", "https://docs.wto.org/imrd/directdoc.asp?DDFDocuments/t/G/TBTN26/VNM393.docx")</f>
        <v>https://docs.wto.org/imrd/directdoc.asp?DDFDocuments/t/G/TBTN26/VNM393.docx</v>
      </c>
      <c r="S331" t="str">
        <f>HYPERLINK("https://docs.wto.org/imrd/directdoc.asp?DDFDocuments/u/G/TBTN26/VNM393.docx", "https://docs.wto.org/imrd/directdoc.asp?DDFDocuments/u/G/TBTN26/VNM393.docx")</f>
        <v>https://docs.wto.org/imrd/directdoc.asp?DDFDocuments/u/G/TBTN26/VNM393.docx</v>
      </c>
      <c r="T331" t="str">
        <f>HYPERLINK("https://docs.wto.org/imrd/directdoc.asp?DDFDocuments/v/G/TBTN26/VNM393.docx", "https://docs.wto.org/imrd/directdoc.asp?DDFDocuments/v/G/TBTN26/VNM393.docx")</f>
        <v>https://docs.wto.org/imrd/directdoc.asp?DDFDocuments/v/G/TBTN26/VNM393.docx</v>
      </c>
      <c r="U331" t="s">
        <v>64</v>
      </c>
      <c r="V331" t="s">
        <v>46</v>
      </c>
      <c r="W331" t="s">
        <v>46</v>
      </c>
      <c r="X331" t="s">
        <v>46</v>
      </c>
      <c r="Y331" t="s">
        <v>46</v>
      </c>
      <c r="Z331" t="s">
        <v>46</v>
      </c>
      <c r="AA331" t="s">
        <v>46</v>
      </c>
      <c r="AB331" s="2" t="s">
        <v>43</v>
      </c>
      <c r="AC331" t="s">
        <v>43</v>
      </c>
      <c r="AD331" t="s">
        <v>43</v>
      </c>
      <c r="AE331" t="s">
        <v>43</v>
      </c>
      <c r="AF331" t="s">
        <v>43</v>
      </c>
      <c r="AG331" t="s">
        <v>43</v>
      </c>
      <c r="AH331" s="2" t="s">
        <v>43</v>
      </c>
    </row>
    <row r="332" spans="1:34" ht="285">
      <c r="A332" s="6" t="s">
        <v>338</v>
      </c>
      <c r="B332" s="7">
        <v>46083</v>
      </c>
      <c r="C332" s="9" t="str">
        <f>HYPERLINK("https://eping.wto.org/en/Search?viewData= G/TBT/N/SAU/1078/Add.1"," G/TBT/N/SAU/1078/Add.1")</f>
        <v xml:space="preserve"> G/TBT/N/SAU/1078/Add.1</v>
      </c>
      <c r="D332" s="8" t="s">
        <v>1656</v>
      </c>
      <c r="E332" s="8" t="s">
        <v>1554</v>
      </c>
      <c r="F332" s="8" t="s">
        <v>1657</v>
      </c>
      <c r="G332" s="8" t="s">
        <v>1658</v>
      </c>
      <c r="H332" s="8" t="s">
        <v>1659</v>
      </c>
      <c r="I332" s="8" t="s">
        <v>275</v>
      </c>
      <c r="J332" s="8" t="s">
        <v>344</v>
      </c>
      <c r="K332" s="8" t="s">
        <v>43</v>
      </c>
      <c r="L332" s="6"/>
      <c r="M332" s="7" t="s">
        <v>43</v>
      </c>
      <c r="N332" s="7"/>
      <c r="O332" s="7"/>
      <c r="P332" s="6" t="s">
        <v>44</v>
      </c>
      <c r="Q332" s="8" t="s">
        <v>1660</v>
      </c>
      <c r="R332" t="str">
        <f>HYPERLINK("https://docs.wto.org/imrd/directdoc.asp?DDFDocuments/t/G/TBTN18/SAU1078A1.docx", "https://docs.wto.org/imrd/directdoc.asp?DDFDocuments/t/G/TBTN18/SAU1078A1.docx")</f>
        <v>https://docs.wto.org/imrd/directdoc.asp?DDFDocuments/t/G/TBTN18/SAU1078A1.docx</v>
      </c>
      <c r="S332" t="str">
        <f>HYPERLINK("https://docs.wto.org/imrd/directdoc.asp?DDFDocuments/u/G/TBTN18/SAU1078A1.docx", "https://docs.wto.org/imrd/directdoc.asp?DDFDocuments/u/G/TBTN18/SAU1078A1.docx")</f>
        <v>https://docs.wto.org/imrd/directdoc.asp?DDFDocuments/u/G/TBTN18/SAU1078A1.docx</v>
      </c>
      <c r="T332" t="str">
        <f>HYPERLINK("https://docs.wto.org/imrd/directdoc.asp?DDFDocuments/v/G/TBTN18/SAU1078A1.docx", "https://docs.wto.org/imrd/directdoc.asp?DDFDocuments/v/G/TBTN18/SAU1078A1.docx")</f>
        <v>https://docs.wto.org/imrd/directdoc.asp?DDFDocuments/v/G/TBTN18/SAU1078A1.docx</v>
      </c>
      <c r="U332" t="s">
        <v>64</v>
      </c>
      <c r="V332" t="s">
        <v>46</v>
      </c>
      <c r="W332" t="s">
        <v>46</v>
      </c>
      <c r="X332" t="s">
        <v>46</v>
      </c>
      <c r="Y332" t="s">
        <v>46</v>
      </c>
      <c r="Z332" t="s">
        <v>46</v>
      </c>
      <c r="AA332" t="s">
        <v>46</v>
      </c>
      <c r="AB332" s="2" t="s">
        <v>43</v>
      </c>
      <c r="AC332" t="s">
        <v>43</v>
      </c>
      <c r="AD332" t="s">
        <v>43</v>
      </c>
      <c r="AE332" t="s">
        <v>43</v>
      </c>
      <c r="AF332" t="s">
        <v>43</v>
      </c>
      <c r="AG332" t="s">
        <v>43</v>
      </c>
      <c r="AH332" s="2" t="s">
        <v>43</v>
      </c>
    </row>
    <row r="333" spans="1:34" ht="409.5">
      <c r="A333" s="6" t="s">
        <v>338</v>
      </c>
      <c r="B333" s="7">
        <v>46083</v>
      </c>
      <c r="C333" s="9" t="str">
        <f>HYPERLINK("https://eping.wto.org/en/Search?viewData= G/TBT/N/SAU/1109/Add.1"," G/TBT/N/SAU/1109/Add.1")</f>
        <v xml:space="preserve"> G/TBT/N/SAU/1109/Add.1</v>
      </c>
      <c r="D333" s="8" t="s">
        <v>1661</v>
      </c>
      <c r="E333" s="8" t="s">
        <v>1554</v>
      </c>
      <c r="F333" s="8" t="s">
        <v>1662</v>
      </c>
      <c r="G333" s="8" t="s">
        <v>1663</v>
      </c>
      <c r="H333" s="8" t="s">
        <v>1664</v>
      </c>
      <c r="I333" s="8" t="s">
        <v>524</v>
      </c>
      <c r="J333" s="8" t="s">
        <v>43</v>
      </c>
      <c r="K333" s="8" t="s">
        <v>43</v>
      </c>
      <c r="L333" s="6"/>
      <c r="M333" s="7" t="s">
        <v>43</v>
      </c>
      <c r="N333" s="7"/>
      <c r="O333" s="7"/>
      <c r="P333" s="6" t="s">
        <v>44</v>
      </c>
      <c r="Q333" s="8" t="s">
        <v>1665</v>
      </c>
      <c r="R333" t="str">
        <f>HYPERLINK("https://docs.wto.org/imrd/directdoc.asp?DDFDocuments/t/G/TBTN19/SAU1109A1.docx", "https://docs.wto.org/imrd/directdoc.asp?DDFDocuments/t/G/TBTN19/SAU1109A1.docx")</f>
        <v>https://docs.wto.org/imrd/directdoc.asp?DDFDocuments/t/G/TBTN19/SAU1109A1.docx</v>
      </c>
      <c r="S333" t="str">
        <f>HYPERLINK("https://docs.wto.org/imrd/directdoc.asp?DDFDocuments/u/G/TBTN19/SAU1109A1.docx", "https://docs.wto.org/imrd/directdoc.asp?DDFDocuments/u/G/TBTN19/SAU1109A1.docx")</f>
        <v>https://docs.wto.org/imrd/directdoc.asp?DDFDocuments/u/G/TBTN19/SAU1109A1.docx</v>
      </c>
      <c r="T333" t="str">
        <f>HYPERLINK("https://docs.wto.org/imrd/directdoc.asp?DDFDocuments/v/G/TBTN19/SAU1109A1.docx", "https://docs.wto.org/imrd/directdoc.asp?DDFDocuments/v/G/TBTN19/SAU1109A1.docx")</f>
        <v>https://docs.wto.org/imrd/directdoc.asp?DDFDocuments/v/G/TBTN19/SAU1109A1.docx</v>
      </c>
      <c r="U333" t="s">
        <v>64</v>
      </c>
      <c r="V333" t="s">
        <v>46</v>
      </c>
      <c r="W333" t="s">
        <v>46</v>
      </c>
      <c r="X333" t="s">
        <v>46</v>
      </c>
      <c r="Y333" t="s">
        <v>46</v>
      </c>
      <c r="Z333" t="s">
        <v>46</v>
      </c>
      <c r="AA333" t="s">
        <v>46</v>
      </c>
      <c r="AB333" s="2" t="s">
        <v>43</v>
      </c>
      <c r="AC333" t="s">
        <v>43</v>
      </c>
      <c r="AD333" t="s">
        <v>43</v>
      </c>
      <c r="AE333" t="s">
        <v>43</v>
      </c>
      <c r="AF333" t="s">
        <v>43</v>
      </c>
      <c r="AG333" t="s">
        <v>43</v>
      </c>
      <c r="AH333" s="2" t="s">
        <v>43</v>
      </c>
    </row>
    <row r="334" spans="1:34" ht="409.5">
      <c r="A334" s="6" t="s">
        <v>338</v>
      </c>
      <c r="B334" s="7">
        <v>46083</v>
      </c>
      <c r="C334" s="9" t="str">
        <f>HYPERLINK("https://eping.wto.org/en/Search?viewData= G/TBT/N/SAU/996/Rev.1/Add.1"," G/TBT/N/SAU/996/Rev.1/Add.1")</f>
        <v xml:space="preserve"> G/TBT/N/SAU/996/Rev.1/Add.1</v>
      </c>
      <c r="D334" s="8" t="s">
        <v>1666</v>
      </c>
      <c r="E334" s="8" t="s">
        <v>1554</v>
      </c>
      <c r="F334" s="8" t="s">
        <v>1667</v>
      </c>
      <c r="G334" s="8" t="s">
        <v>1668</v>
      </c>
      <c r="H334" s="8" t="s">
        <v>1669</v>
      </c>
      <c r="I334" s="8" t="s">
        <v>524</v>
      </c>
      <c r="J334" s="8" t="s">
        <v>43</v>
      </c>
      <c r="K334" s="8" t="s">
        <v>43</v>
      </c>
      <c r="L334" s="6"/>
      <c r="M334" s="7" t="s">
        <v>43</v>
      </c>
      <c r="N334" s="7"/>
      <c r="O334" s="7"/>
      <c r="P334" s="6" t="s">
        <v>44</v>
      </c>
      <c r="Q334" s="8" t="s">
        <v>1670</v>
      </c>
      <c r="R334" t="str">
        <f>HYPERLINK("https://docs.wto.org/imrd/directdoc.asp?DDFDocuments/t/G/TBTN17/SAU996R1A1.docx", "https://docs.wto.org/imrd/directdoc.asp?DDFDocuments/t/G/TBTN17/SAU996R1A1.docx")</f>
        <v>https://docs.wto.org/imrd/directdoc.asp?DDFDocuments/t/G/TBTN17/SAU996R1A1.docx</v>
      </c>
      <c r="S334" t="str">
        <f>HYPERLINK("https://docs.wto.org/imrd/directdoc.asp?DDFDocuments/u/G/TBTN17/SAU996R1A1.docx", "https://docs.wto.org/imrd/directdoc.asp?DDFDocuments/u/G/TBTN17/SAU996R1A1.docx")</f>
        <v>https://docs.wto.org/imrd/directdoc.asp?DDFDocuments/u/G/TBTN17/SAU996R1A1.docx</v>
      </c>
      <c r="T334" t="str">
        <f>HYPERLINK("https://docs.wto.org/imrd/directdoc.asp?DDFDocuments/v/G/TBTN17/SAU996R1A1.docx", "https://docs.wto.org/imrd/directdoc.asp?DDFDocuments/v/G/TBTN17/SAU996R1A1.docx")</f>
        <v>https://docs.wto.org/imrd/directdoc.asp?DDFDocuments/v/G/TBTN17/SAU996R1A1.docx</v>
      </c>
      <c r="U334" t="s">
        <v>64</v>
      </c>
      <c r="V334" t="s">
        <v>46</v>
      </c>
      <c r="W334" t="s">
        <v>46</v>
      </c>
      <c r="X334" t="s">
        <v>46</v>
      </c>
      <c r="Y334" t="s">
        <v>46</v>
      </c>
      <c r="Z334" t="s">
        <v>46</v>
      </c>
      <c r="AA334" t="s">
        <v>46</v>
      </c>
      <c r="AB334" s="2" t="s">
        <v>43</v>
      </c>
      <c r="AC334" t="s">
        <v>43</v>
      </c>
      <c r="AD334" t="s">
        <v>43</v>
      </c>
      <c r="AE334" t="s">
        <v>43</v>
      </c>
      <c r="AF334" t="s">
        <v>43</v>
      </c>
      <c r="AG334" t="s">
        <v>43</v>
      </c>
      <c r="AH334" s="2" t="s">
        <v>43</v>
      </c>
    </row>
    <row r="335" spans="1:34" ht="345">
      <c r="A335" s="6" t="s">
        <v>158</v>
      </c>
      <c r="B335" s="7">
        <v>46083</v>
      </c>
      <c r="C335" s="9" t="str">
        <f>HYPERLINK("https://eping.wto.org/en/Search?viewData= G/SPS/N/UKR/259"," G/SPS/N/UKR/259")</f>
        <v xml:space="preserve"> G/SPS/N/UKR/259</v>
      </c>
      <c r="D335" s="8" t="s">
        <v>1671</v>
      </c>
      <c r="E335" s="8" t="s">
        <v>1672</v>
      </c>
      <c r="F335" s="8" t="s">
        <v>1673</v>
      </c>
      <c r="G335" s="8" t="s">
        <v>1624</v>
      </c>
      <c r="H335" s="8" t="s">
        <v>43</v>
      </c>
      <c r="I335" s="8" t="s">
        <v>58</v>
      </c>
      <c r="J335" s="8" t="s">
        <v>43</v>
      </c>
      <c r="K335" s="8" t="s">
        <v>310</v>
      </c>
      <c r="L335" s="6" t="s">
        <v>43</v>
      </c>
      <c r="M335" s="7">
        <v>46143</v>
      </c>
      <c r="N335" s="7" t="s">
        <v>304</v>
      </c>
      <c r="O335" s="7" t="s">
        <v>114</v>
      </c>
      <c r="P335" s="6" t="s">
        <v>62</v>
      </c>
      <c r="Q335" s="8" t="s">
        <v>1674</v>
      </c>
      <c r="R335" t="str">
        <f>HYPERLINK("https://docs.wto.org/imrd/directdoc.asp?DDFDocuments/t/G/SPS/NUKR259.docx", "https://docs.wto.org/imrd/directdoc.asp?DDFDocuments/t/G/SPS/NUKR259.docx")</f>
        <v>https://docs.wto.org/imrd/directdoc.asp?DDFDocuments/t/G/SPS/NUKR259.docx</v>
      </c>
      <c r="S335" t="str">
        <f>HYPERLINK("https://docs.wto.org/imrd/directdoc.asp?DDFDocuments/u/G/SPS/NUKR259.docx", "https://docs.wto.org/imrd/directdoc.asp?DDFDocuments/u/G/SPS/NUKR259.docx")</f>
        <v>https://docs.wto.org/imrd/directdoc.asp?DDFDocuments/u/G/SPS/NUKR259.docx</v>
      </c>
      <c r="T335" t="str">
        <f>HYPERLINK("https://docs.wto.org/imrd/directdoc.asp?DDFDocuments/v/G/SPS/NUKR259.docx", "https://docs.wto.org/imrd/directdoc.asp?DDFDocuments/v/G/SPS/NUKR259.docx")</f>
        <v>https://docs.wto.org/imrd/directdoc.asp?DDFDocuments/v/G/SPS/NUKR259.docx</v>
      </c>
      <c r="U335" t="s">
        <v>43</v>
      </c>
      <c r="V335" t="s">
        <v>43</v>
      </c>
      <c r="W335" t="s">
        <v>43</v>
      </c>
      <c r="X335" t="s">
        <v>43</v>
      </c>
      <c r="Y335" t="s">
        <v>43</v>
      </c>
      <c r="Z335" t="s">
        <v>43</v>
      </c>
      <c r="AA335" t="s">
        <v>43</v>
      </c>
      <c r="AB335" s="2" t="s">
        <v>43</v>
      </c>
      <c r="AC335" t="s">
        <v>64</v>
      </c>
      <c r="AD335" t="s">
        <v>46</v>
      </c>
      <c r="AE335" t="s">
        <v>46</v>
      </c>
      <c r="AF335" t="s">
        <v>46</v>
      </c>
      <c r="AG335" t="s">
        <v>64</v>
      </c>
      <c r="AH335" s="2" t="s">
        <v>43</v>
      </c>
    </row>
    <row r="336" spans="1:34" ht="409.5">
      <c r="A336" s="6" t="s">
        <v>338</v>
      </c>
      <c r="B336" s="7">
        <v>46083</v>
      </c>
      <c r="C336" s="9" t="str">
        <f>HYPERLINK("https://eping.wto.org/en/Search?viewData= G/TBT/N/SAU/1185/Add.2"," G/TBT/N/SAU/1185/Add.2")</f>
        <v xml:space="preserve"> G/TBT/N/SAU/1185/Add.2</v>
      </c>
      <c r="D336" s="8" t="s">
        <v>1675</v>
      </c>
      <c r="E336" s="8" t="s">
        <v>1554</v>
      </c>
      <c r="F336" s="8" t="s">
        <v>1676</v>
      </c>
      <c r="G336" s="8" t="s">
        <v>1677</v>
      </c>
      <c r="H336" s="8" t="s">
        <v>1678</v>
      </c>
      <c r="I336" s="8" t="s">
        <v>524</v>
      </c>
      <c r="J336" s="8" t="s">
        <v>43</v>
      </c>
      <c r="K336" s="8" t="s">
        <v>43</v>
      </c>
      <c r="L336" s="6"/>
      <c r="M336" s="7" t="s">
        <v>43</v>
      </c>
      <c r="N336" s="7"/>
      <c r="O336" s="7"/>
      <c r="P336" s="6" t="s">
        <v>44</v>
      </c>
      <c r="Q336" s="8" t="s">
        <v>1679</v>
      </c>
      <c r="R336" t="str">
        <f>HYPERLINK("https://docs.wto.org/imrd/directdoc.asp?DDFDocuments/t/G/TBTN21/SAU1185A2.docx", "https://docs.wto.org/imrd/directdoc.asp?DDFDocuments/t/G/TBTN21/SAU1185A2.docx")</f>
        <v>https://docs.wto.org/imrd/directdoc.asp?DDFDocuments/t/G/TBTN21/SAU1185A2.docx</v>
      </c>
      <c r="S336" t="str">
        <f>HYPERLINK("https://docs.wto.org/imrd/directdoc.asp?DDFDocuments/u/G/TBTN21/SAU1185A2.docx", "https://docs.wto.org/imrd/directdoc.asp?DDFDocuments/u/G/TBTN21/SAU1185A2.docx")</f>
        <v>https://docs.wto.org/imrd/directdoc.asp?DDFDocuments/u/G/TBTN21/SAU1185A2.docx</v>
      </c>
      <c r="T336" t="str">
        <f>HYPERLINK("https://docs.wto.org/imrd/directdoc.asp?DDFDocuments/v/G/TBTN21/SAU1185A2.docx", "https://docs.wto.org/imrd/directdoc.asp?DDFDocuments/v/G/TBTN21/SAU1185A2.docx")</f>
        <v>https://docs.wto.org/imrd/directdoc.asp?DDFDocuments/v/G/TBTN21/SAU1185A2.docx</v>
      </c>
      <c r="U336" t="s">
        <v>64</v>
      </c>
      <c r="V336" t="s">
        <v>46</v>
      </c>
      <c r="W336" t="s">
        <v>46</v>
      </c>
      <c r="X336" t="s">
        <v>46</v>
      </c>
      <c r="Y336" t="s">
        <v>46</v>
      </c>
      <c r="Z336" t="s">
        <v>46</v>
      </c>
      <c r="AA336" t="s">
        <v>46</v>
      </c>
      <c r="AB336" s="2" t="s">
        <v>43</v>
      </c>
      <c r="AC336" t="s">
        <v>43</v>
      </c>
      <c r="AD336" t="s">
        <v>43</v>
      </c>
      <c r="AE336" t="s">
        <v>43</v>
      </c>
      <c r="AF336" t="s">
        <v>43</v>
      </c>
      <c r="AG336" t="s">
        <v>43</v>
      </c>
      <c r="AH336" s="2" t="s">
        <v>43</v>
      </c>
    </row>
    <row r="337" spans="1:34" ht="135">
      <c r="A337" s="6" t="s">
        <v>338</v>
      </c>
      <c r="B337" s="7">
        <v>46083</v>
      </c>
      <c r="C337" s="9" t="str">
        <f>HYPERLINK("https://eping.wto.org/en/Search?viewData= G/SPS/N/SAU/614"," G/SPS/N/SAU/614")</f>
        <v xml:space="preserve"> G/SPS/N/SAU/614</v>
      </c>
      <c r="D337" s="8" t="s">
        <v>1680</v>
      </c>
      <c r="E337" s="8" t="s">
        <v>1681</v>
      </c>
      <c r="F337" s="8" t="s">
        <v>1682</v>
      </c>
      <c r="G337" s="8" t="s">
        <v>43</v>
      </c>
      <c r="H337" s="8" t="s">
        <v>43</v>
      </c>
      <c r="I337" s="8" t="s">
        <v>361</v>
      </c>
      <c r="J337" s="8" t="s">
        <v>43</v>
      </c>
      <c r="K337" s="8" t="s">
        <v>1683</v>
      </c>
      <c r="L337" s="6" t="s">
        <v>1684</v>
      </c>
      <c r="M337" s="7" t="s">
        <v>43</v>
      </c>
      <c r="N337" s="7"/>
      <c r="O337" s="7">
        <v>46082</v>
      </c>
      <c r="P337" s="6" t="s">
        <v>107</v>
      </c>
      <c r="Q337" s="8" t="s">
        <v>1685</v>
      </c>
      <c r="R337" t="str">
        <f>HYPERLINK("https://docs.wto.org/imrd/directdoc.asp?DDFDocuments/t/G/SPS/NSAU614.docx", "https://docs.wto.org/imrd/directdoc.asp?DDFDocuments/t/G/SPS/NSAU614.docx")</f>
        <v>https://docs.wto.org/imrd/directdoc.asp?DDFDocuments/t/G/SPS/NSAU614.docx</v>
      </c>
      <c r="S337" t="str">
        <f>HYPERLINK("https://docs.wto.org/imrd/directdoc.asp?DDFDocuments/u/G/SPS/NSAU614.docx", "https://docs.wto.org/imrd/directdoc.asp?DDFDocuments/u/G/SPS/NSAU614.docx")</f>
        <v>https://docs.wto.org/imrd/directdoc.asp?DDFDocuments/u/G/SPS/NSAU614.docx</v>
      </c>
      <c r="T337" t="str">
        <f>HYPERLINK("https://docs.wto.org/imrd/directdoc.asp?DDFDocuments/v/G/SPS/NSAU614.docx", "https://docs.wto.org/imrd/directdoc.asp?DDFDocuments/v/G/SPS/NSAU614.docx")</f>
        <v>https://docs.wto.org/imrd/directdoc.asp?DDFDocuments/v/G/SPS/NSAU614.docx</v>
      </c>
      <c r="U337" t="s">
        <v>43</v>
      </c>
      <c r="V337" t="s">
        <v>43</v>
      </c>
      <c r="W337" t="s">
        <v>43</v>
      </c>
      <c r="X337" t="s">
        <v>43</v>
      </c>
      <c r="Y337" t="s">
        <v>43</v>
      </c>
      <c r="Z337" t="s">
        <v>43</v>
      </c>
      <c r="AA337" t="s">
        <v>43</v>
      </c>
      <c r="AB337" s="2" t="s">
        <v>43</v>
      </c>
      <c r="AC337" t="s">
        <v>46</v>
      </c>
      <c r="AD337" t="s">
        <v>64</v>
      </c>
      <c r="AE337" t="s">
        <v>46</v>
      </c>
      <c r="AF337" t="s">
        <v>46</v>
      </c>
      <c r="AG337" t="s">
        <v>64</v>
      </c>
      <c r="AH337" s="2" t="s">
        <v>43</v>
      </c>
    </row>
    <row r="338" spans="1:34" ht="375">
      <c r="A338" s="6" t="s">
        <v>338</v>
      </c>
      <c r="B338" s="7">
        <v>46083</v>
      </c>
      <c r="C338" s="9" t="str">
        <f>HYPERLINK("https://eping.wto.org/en/Search?viewData= G/TBT/N/SAU/1250/Add.1"," G/TBT/N/SAU/1250/Add.1")</f>
        <v xml:space="preserve"> G/TBT/N/SAU/1250/Add.1</v>
      </c>
      <c r="D338" s="8" t="s">
        <v>1686</v>
      </c>
      <c r="E338" s="8" t="s">
        <v>1554</v>
      </c>
      <c r="F338" s="8" t="s">
        <v>1687</v>
      </c>
      <c r="G338" s="8" t="s">
        <v>1688</v>
      </c>
      <c r="H338" s="8" t="s">
        <v>1689</v>
      </c>
      <c r="I338" s="8" t="s">
        <v>1564</v>
      </c>
      <c r="J338" s="8" t="s">
        <v>43</v>
      </c>
      <c r="K338" s="8" t="s">
        <v>43</v>
      </c>
      <c r="L338" s="6"/>
      <c r="M338" s="7" t="s">
        <v>43</v>
      </c>
      <c r="N338" s="7"/>
      <c r="O338" s="7"/>
      <c r="P338" s="6" t="s">
        <v>44</v>
      </c>
      <c r="Q338" s="8" t="s">
        <v>1690</v>
      </c>
      <c r="R338" t="str">
        <f>HYPERLINK("https://docs.wto.org/imrd/directdoc.asp?DDFDocuments/t/G/TBTN22/SAU1250A1.docx", "https://docs.wto.org/imrd/directdoc.asp?DDFDocuments/t/G/TBTN22/SAU1250A1.docx")</f>
        <v>https://docs.wto.org/imrd/directdoc.asp?DDFDocuments/t/G/TBTN22/SAU1250A1.docx</v>
      </c>
      <c r="S338" t="str">
        <f>HYPERLINK("https://docs.wto.org/imrd/directdoc.asp?DDFDocuments/u/G/TBTN22/SAU1250A1.docx", "https://docs.wto.org/imrd/directdoc.asp?DDFDocuments/u/G/TBTN22/SAU1250A1.docx")</f>
        <v>https://docs.wto.org/imrd/directdoc.asp?DDFDocuments/u/G/TBTN22/SAU1250A1.docx</v>
      </c>
      <c r="T338" t="str">
        <f>HYPERLINK("https://docs.wto.org/imrd/directdoc.asp?DDFDocuments/v/G/TBTN22/SAU1250A1.docx", "https://docs.wto.org/imrd/directdoc.asp?DDFDocuments/v/G/TBTN22/SAU1250A1.docx")</f>
        <v>https://docs.wto.org/imrd/directdoc.asp?DDFDocuments/v/G/TBTN22/SAU1250A1.docx</v>
      </c>
      <c r="U338" t="s">
        <v>64</v>
      </c>
      <c r="V338" t="s">
        <v>46</v>
      </c>
      <c r="W338" t="s">
        <v>46</v>
      </c>
      <c r="X338" t="s">
        <v>46</v>
      </c>
      <c r="Y338" t="s">
        <v>46</v>
      </c>
      <c r="Z338" t="s">
        <v>46</v>
      </c>
      <c r="AA338" t="s">
        <v>46</v>
      </c>
      <c r="AB338" s="2" t="s">
        <v>43</v>
      </c>
      <c r="AC338" t="s">
        <v>43</v>
      </c>
      <c r="AD338" t="s">
        <v>43</v>
      </c>
      <c r="AE338" t="s">
        <v>43</v>
      </c>
      <c r="AF338" t="s">
        <v>43</v>
      </c>
      <c r="AG338" t="s">
        <v>43</v>
      </c>
      <c r="AH338" s="2" t="s">
        <v>43</v>
      </c>
    </row>
    <row r="339" spans="1:34" ht="60">
      <c r="A339" s="6" t="s">
        <v>1603</v>
      </c>
      <c r="B339" s="7">
        <v>46080</v>
      </c>
      <c r="C339" s="9" t="str">
        <f>HYPERLINK("https://eping.wto.org/en/Search?viewData= G/SPS/N/ARM/64"," G/SPS/N/ARM/64")</f>
        <v xml:space="preserve"> G/SPS/N/ARM/64</v>
      </c>
      <c r="D339" s="8" t="s">
        <v>1691</v>
      </c>
      <c r="E339" s="8" t="s">
        <v>1692</v>
      </c>
      <c r="F339" s="8" t="s">
        <v>1693</v>
      </c>
      <c r="G339" s="8" t="s">
        <v>43</v>
      </c>
      <c r="H339" s="8" t="s">
        <v>43</v>
      </c>
      <c r="I339" s="8" t="s">
        <v>254</v>
      </c>
      <c r="J339" s="8" t="s">
        <v>43</v>
      </c>
      <c r="K339" s="8" t="s">
        <v>512</v>
      </c>
      <c r="L339" s="6" t="s">
        <v>43</v>
      </c>
      <c r="M339" s="7">
        <v>46132</v>
      </c>
      <c r="N339" s="7" t="s">
        <v>304</v>
      </c>
      <c r="O339" s="7" t="s">
        <v>304</v>
      </c>
      <c r="P339" s="6" t="s">
        <v>62</v>
      </c>
      <c r="Q339" s="8" t="s">
        <v>1694</v>
      </c>
      <c r="R339" t="str">
        <f>HYPERLINK("https://docs.wto.org/imrd/directdoc.asp?DDFDocuments/t/G/SPS/NARM64.docx", "https://docs.wto.org/imrd/directdoc.asp?DDFDocuments/t/G/SPS/NARM64.docx")</f>
        <v>https://docs.wto.org/imrd/directdoc.asp?DDFDocuments/t/G/SPS/NARM64.docx</v>
      </c>
      <c r="S339" t="str">
        <f>HYPERLINK("https://docs.wto.org/imrd/directdoc.asp?DDFDocuments/u/G/SPS/NARM64.docx", "https://docs.wto.org/imrd/directdoc.asp?DDFDocuments/u/G/SPS/NARM64.docx")</f>
        <v>https://docs.wto.org/imrd/directdoc.asp?DDFDocuments/u/G/SPS/NARM64.docx</v>
      </c>
      <c r="T339" t="str">
        <f>HYPERLINK("https://docs.wto.org/imrd/directdoc.asp?DDFDocuments/v/G/SPS/NARM64.docx", "https://docs.wto.org/imrd/directdoc.asp?DDFDocuments/v/G/SPS/NARM64.docx")</f>
        <v>https://docs.wto.org/imrd/directdoc.asp?DDFDocuments/v/G/SPS/NARM64.docx</v>
      </c>
      <c r="U339" t="s">
        <v>43</v>
      </c>
      <c r="V339" t="s">
        <v>43</v>
      </c>
      <c r="W339" t="s">
        <v>43</v>
      </c>
      <c r="X339" t="s">
        <v>43</v>
      </c>
      <c r="Y339" t="s">
        <v>43</v>
      </c>
      <c r="Z339" t="s">
        <v>43</v>
      </c>
      <c r="AA339" t="s">
        <v>43</v>
      </c>
      <c r="AB339" s="2" t="s">
        <v>43</v>
      </c>
      <c r="AC339" t="s">
        <v>46</v>
      </c>
      <c r="AD339" t="s">
        <v>46</v>
      </c>
      <c r="AE339" t="s">
        <v>64</v>
      </c>
      <c r="AF339" t="s">
        <v>46</v>
      </c>
      <c r="AG339" t="s">
        <v>64</v>
      </c>
      <c r="AH339" s="2" t="s">
        <v>43</v>
      </c>
    </row>
    <row r="340" spans="1:34" ht="75">
      <c r="A340" s="6" t="s">
        <v>146</v>
      </c>
      <c r="B340" s="7">
        <v>46080</v>
      </c>
      <c r="C340" s="9" t="str">
        <f>HYPERLINK("https://eping.wto.org/en/Search?viewData= G/TBT/N/CHL/788"," G/TBT/N/CHL/788")</f>
        <v xml:space="preserve"> G/TBT/N/CHL/788</v>
      </c>
      <c r="D340" s="8" t="s">
        <v>1695</v>
      </c>
      <c r="E340" s="8" t="s">
        <v>1696</v>
      </c>
      <c r="F340" s="8" t="s">
        <v>1697</v>
      </c>
      <c r="G340" s="8" t="s">
        <v>1698</v>
      </c>
      <c r="H340" s="8" t="s">
        <v>1699</v>
      </c>
      <c r="I340" s="8" t="s">
        <v>336</v>
      </c>
      <c r="J340" s="8" t="s">
        <v>43</v>
      </c>
      <c r="K340" s="8" t="s">
        <v>43</v>
      </c>
      <c r="L340" s="6"/>
      <c r="M340" s="7">
        <v>46140</v>
      </c>
      <c r="N340" s="7" t="s">
        <v>877</v>
      </c>
      <c r="O340" s="7" t="s">
        <v>877</v>
      </c>
      <c r="P340" s="6" t="s">
        <v>62</v>
      </c>
      <c r="Q340" s="8" t="s">
        <v>1700</v>
      </c>
      <c r="R340" t="str">
        <f>HYPERLINK("https://docs.wto.org/imrd/directdoc.asp?DDFDocuments/t/G/TBTN26/CHL788.docx", "https://docs.wto.org/imrd/directdoc.asp?DDFDocuments/t/G/TBTN26/CHL788.docx")</f>
        <v>https://docs.wto.org/imrd/directdoc.asp?DDFDocuments/t/G/TBTN26/CHL788.docx</v>
      </c>
      <c r="S340" t="str">
        <f>HYPERLINK("https://docs.wto.org/imrd/directdoc.asp?DDFDocuments/u/G/TBTN26/CHL788.docx", "https://docs.wto.org/imrd/directdoc.asp?DDFDocuments/u/G/TBTN26/CHL788.docx")</f>
        <v>https://docs.wto.org/imrd/directdoc.asp?DDFDocuments/u/G/TBTN26/CHL788.docx</v>
      </c>
      <c r="T340" t="str">
        <f>HYPERLINK("https://docs.wto.org/imrd/directdoc.asp?DDFDocuments/v/G/TBTN26/CHL788.docx", "https://docs.wto.org/imrd/directdoc.asp?DDFDocuments/v/G/TBTN26/CHL788.docx")</f>
        <v>https://docs.wto.org/imrd/directdoc.asp?DDFDocuments/v/G/TBTN26/CHL788.docx</v>
      </c>
      <c r="U340" t="s">
        <v>64</v>
      </c>
      <c r="V340" t="s">
        <v>46</v>
      </c>
      <c r="W340" t="s">
        <v>46</v>
      </c>
      <c r="X340" t="s">
        <v>46</v>
      </c>
      <c r="Y340" t="s">
        <v>46</v>
      </c>
      <c r="Z340" t="s">
        <v>46</v>
      </c>
      <c r="AA340" t="s">
        <v>46</v>
      </c>
      <c r="AB340" s="2" t="s">
        <v>1701</v>
      </c>
      <c r="AC340" t="s">
        <v>43</v>
      </c>
      <c r="AD340" t="s">
        <v>43</v>
      </c>
      <c r="AE340" t="s">
        <v>43</v>
      </c>
      <c r="AF340" t="s">
        <v>43</v>
      </c>
      <c r="AG340" t="s">
        <v>43</v>
      </c>
      <c r="AH340" s="2" t="s">
        <v>43</v>
      </c>
    </row>
    <row r="341" spans="1:34" ht="30">
      <c r="A341" s="6" t="s">
        <v>289</v>
      </c>
      <c r="B341" s="7">
        <v>46080</v>
      </c>
      <c r="C341" s="9" t="str">
        <f>HYPERLINK("https://eping.wto.org/en/Search?viewData= G/SPS/N/BRA/2473"," G/SPS/N/BRA/2473")</f>
        <v xml:space="preserve"> G/SPS/N/BRA/2473</v>
      </c>
      <c r="D341" s="8" t="s">
        <v>1702</v>
      </c>
      <c r="E341" s="8" t="s">
        <v>1703</v>
      </c>
      <c r="F341" s="8" t="s">
        <v>1704</v>
      </c>
      <c r="G341" s="8" t="s">
        <v>1705</v>
      </c>
      <c r="H341" s="8" t="s">
        <v>43</v>
      </c>
      <c r="I341" s="8" t="s">
        <v>94</v>
      </c>
      <c r="J341" s="8" t="s">
        <v>43</v>
      </c>
      <c r="K341" s="8" t="s">
        <v>1706</v>
      </c>
      <c r="L341" s="6" t="s">
        <v>43</v>
      </c>
      <c r="M341" s="7">
        <v>46140</v>
      </c>
      <c r="N341" s="7" t="s">
        <v>304</v>
      </c>
      <c r="O341" s="7" t="s">
        <v>304</v>
      </c>
      <c r="P341" s="6" t="s">
        <v>62</v>
      </c>
      <c r="Q341" s="8" t="s">
        <v>1707</v>
      </c>
      <c r="R341" t="str">
        <f>HYPERLINK("https://docs.wto.org/imrd/directdoc.asp?DDFDocuments/t/G/SPS/NBRA2473.docx", "https://docs.wto.org/imrd/directdoc.asp?DDFDocuments/t/G/SPS/NBRA2473.docx")</f>
        <v>https://docs.wto.org/imrd/directdoc.asp?DDFDocuments/t/G/SPS/NBRA2473.docx</v>
      </c>
      <c r="S341" t="str">
        <f>HYPERLINK("https://docs.wto.org/imrd/directdoc.asp?DDFDocuments/u/G/SPS/NBRA2473.docx", "https://docs.wto.org/imrd/directdoc.asp?DDFDocuments/u/G/SPS/NBRA2473.docx")</f>
        <v>https://docs.wto.org/imrd/directdoc.asp?DDFDocuments/u/G/SPS/NBRA2473.docx</v>
      </c>
      <c r="T341" t="str">
        <f>HYPERLINK("https://docs.wto.org/imrd/directdoc.asp?DDFDocuments/v/G/SPS/NBRA2473.docx", "https://docs.wto.org/imrd/directdoc.asp?DDFDocuments/v/G/SPS/NBRA2473.docx")</f>
        <v>https://docs.wto.org/imrd/directdoc.asp?DDFDocuments/v/G/SPS/NBRA2473.docx</v>
      </c>
      <c r="U341" t="s">
        <v>43</v>
      </c>
      <c r="V341" t="s">
        <v>43</v>
      </c>
      <c r="W341" t="s">
        <v>43</v>
      </c>
      <c r="X341" t="s">
        <v>43</v>
      </c>
      <c r="Y341" t="s">
        <v>43</v>
      </c>
      <c r="Z341" t="s">
        <v>43</v>
      </c>
      <c r="AA341" t="s">
        <v>43</v>
      </c>
      <c r="AB341" s="2" t="s">
        <v>43</v>
      </c>
      <c r="AC341" t="s">
        <v>46</v>
      </c>
      <c r="AD341" t="s">
        <v>46</v>
      </c>
      <c r="AE341" t="s">
        <v>64</v>
      </c>
      <c r="AF341" t="s">
        <v>46</v>
      </c>
      <c r="AG341" t="s">
        <v>64</v>
      </c>
      <c r="AH341" s="2" t="s">
        <v>43</v>
      </c>
    </row>
    <row r="342" spans="1:34" ht="135">
      <c r="A342" s="6" t="s">
        <v>89</v>
      </c>
      <c r="B342" s="7">
        <v>46080</v>
      </c>
      <c r="C342" s="9" t="str">
        <f>HYPERLINK("https://eping.wto.org/en/Search?viewData= G/SPS/N/CRI/346/Add.1"," G/SPS/N/CRI/346/Add.1")</f>
        <v xml:space="preserve"> G/SPS/N/CRI/346/Add.1</v>
      </c>
      <c r="D342" s="8" t="s">
        <v>1708</v>
      </c>
      <c r="E342" s="8" t="s">
        <v>1708</v>
      </c>
      <c r="F342" s="8" t="s">
        <v>1709</v>
      </c>
      <c r="G342" s="8" t="s">
        <v>1710</v>
      </c>
      <c r="H342" s="8" t="s">
        <v>43</v>
      </c>
      <c r="I342" s="8" t="s">
        <v>94</v>
      </c>
      <c r="J342" s="8" t="s">
        <v>43</v>
      </c>
      <c r="K342" s="8" t="s">
        <v>1711</v>
      </c>
      <c r="L342" s="6"/>
      <c r="M342" s="7" t="s">
        <v>43</v>
      </c>
      <c r="N342" s="7"/>
      <c r="O342" s="7"/>
      <c r="P342" s="6" t="s">
        <v>44</v>
      </c>
      <c r="Q342" s="8" t="s">
        <v>1712</v>
      </c>
      <c r="R342" t="str">
        <f>HYPERLINK("https://docs.wto.org/imrd/directdoc.asp?DDFDocuments/t/G/SPS/NCRI346A1.docx", "https://docs.wto.org/imrd/directdoc.asp?DDFDocuments/t/G/SPS/NCRI346A1.docx")</f>
        <v>https://docs.wto.org/imrd/directdoc.asp?DDFDocuments/t/G/SPS/NCRI346A1.docx</v>
      </c>
      <c r="S342" t="str">
        <f>HYPERLINK("https://docs.wto.org/imrd/directdoc.asp?DDFDocuments/u/G/SPS/NCRI346A1.docx", "https://docs.wto.org/imrd/directdoc.asp?DDFDocuments/u/G/SPS/NCRI346A1.docx")</f>
        <v>https://docs.wto.org/imrd/directdoc.asp?DDFDocuments/u/G/SPS/NCRI346A1.docx</v>
      </c>
      <c r="T342" t="str">
        <f>HYPERLINK("https://docs.wto.org/imrd/directdoc.asp?DDFDocuments/v/G/SPS/NCRI346A1.docx", "https://docs.wto.org/imrd/directdoc.asp?DDFDocuments/v/G/SPS/NCRI346A1.docx")</f>
        <v>https://docs.wto.org/imrd/directdoc.asp?DDFDocuments/v/G/SPS/NCRI346A1.docx</v>
      </c>
      <c r="U342" t="s">
        <v>43</v>
      </c>
      <c r="V342" t="s">
        <v>43</v>
      </c>
      <c r="W342" t="s">
        <v>43</v>
      </c>
      <c r="X342" t="s">
        <v>43</v>
      </c>
      <c r="Y342" t="s">
        <v>43</v>
      </c>
      <c r="Z342" t="s">
        <v>43</v>
      </c>
      <c r="AA342" t="s">
        <v>43</v>
      </c>
      <c r="AB342" s="2" t="s">
        <v>43</v>
      </c>
      <c r="AC342" t="s">
        <v>43</v>
      </c>
      <c r="AD342" t="s">
        <v>43</v>
      </c>
      <c r="AE342" t="s">
        <v>43</v>
      </c>
      <c r="AF342" t="s">
        <v>43</v>
      </c>
      <c r="AG342" t="s">
        <v>43</v>
      </c>
      <c r="AH342" s="2" t="s">
        <v>43</v>
      </c>
    </row>
    <row r="343" spans="1:34" ht="30">
      <c r="A343" s="6" t="s">
        <v>1328</v>
      </c>
      <c r="B343" s="7">
        <v>46080</v>
      </c>
      <c r="C343" s="9" t="str">
        <f>HYPERLINK("https://eping.wto.org/en/Search?viewData= G/TBT/N/PHL/357"," G/TBT/N/PHL/357")</f>
        <v xml:space="preserve"> G/TBT/N/PHL/357</v>
      </c>
      <c r="D343" s="8" t="s">
        <v>1713</v>
      </c>
      <c r="E343" s="8" t="s">
        <v>1714</v>
      </c>
      <c r="F343" s="8" t="s">
        <v>1715</v>
      </c>
      <c r="G343" s="8" t="s">
        <v>43</v>
      </c>
      <c r="H343" s="8" t="s">
        <v>1699</v>
      </c>
      <c r="I343" s="8" t="s">
        <v>413</v>
      </c>
      <c r="J343" s="8" t="s">
        <v>43</v>
      </c>
      <c r="K343" s="8" t="s">
        <v>43</v>
      </c>
      <c r="L343" s="6"/>
      <c r="M343" s="7">
        <v>46138</v>
      </c>
      <c r="N343" s="7">
        <v>46203</v>
      </c>
      <c r="O343" s="7" t="s">
        <v>1716</v>
      </c>
      <c r="P343" s="6" t="s">
        <v>62</v>
      </c>
      <c r="Q343" s="8" t="s">
        <v>1717</v>
      </c>
      <c r="R343" t="str">
        <f>HYPERLINK("https://docs.wto.org/imrd/directdoc.asp?DDFDocuments/t/G/TBTN26/PHL357.docx", "https://docs.wto.org/imrd/directdoc.asp?DDFDocuments/t/G/TBTN26/PHL357.docx")</f>
        <v>https://docs.wto.org/imrd/directdoc.asp?DDFDocuments/t/G/TBTN26/PHL357.docx</v>
      </c>
      <c r="S343" t="str">
        <f>HYPERLINK("https://docs.wto.org/imrd/directdoc.asp?DDFDocuments/u/G/TBTN26/PHL357.docx", "https://docs.wto.org/imrd/directdoc.asp?DDFDocuments/u/G/TBTN26/PHL357.docx")</f>
        <v>https://docs.wto.org/imrd/directdoc.asp?DDFDocuments/u/G/TBTN26/PHL357.docx</v>
      </c>
      <c r="T343" t="str">
        <f>HYPERLINK("https://docs.wto.org/imrd/directdoc.asp?DDFDocuments/v/G/TBTN26/PHL357.docx", "https://docs.wto.org/imrd/directdoc.asp?DDFDocuments/v/G/TBTN26/PHL357.docx")</f>
        <v>https://docs.wto.org/imrd/directdoc.asp?DDFDocuments/v/G/TBTN26/PHL357.docx</v>
      </c>
      <c r="U343" t="s">
        <v>64</v>
      </c>
      <c r="V343" t="s">
        <v>46</v>
      </c>
      <c r="W343" t="s">
        <v>46</v>
      </c>
      <c r="X343" t="s">
        <v>46</v>
      </c>
      <c r="Y343" t="s">
        <v>46</v>
      </c>
      <c r="Z343" t="s">
        <v>46</v>
      </c>
      <c r="AA343" t="s">
        <v>46</v>
      </c>
      <c r="AB343" s="2" t="s">
        <v>43</v>
      </c>
      <c r="AC343" t="s">
        <v>43</v>
      </c>
      <c r="AD343" t="s">
        <v>43</v>
      </c>
      <c r="AE343" t="s">
        <v>43</v>
      </c>
      <c r="AF343" t="s">
        <v>43</v>
      </c>
      <c r="AG343" t="s">
        <v>43</v>
      </c>
      <c r="AH343" s="2" t="s">
        <v>43</v>
      </c>
    </row>
    <row r="344" spans="1:34" ht="105">
      <c r="A344" s="6" t="s">
        <v>74</v>
      </c>
      <c r="B344" s="7">
        <v>46080</v>
      </c>
      <c r="C344" s="9" t="str">
        <f>HYPERLINK("https://eping.wto.org/en/Search?viewData= G/SPS/N/IND/333/Add.1"," G/SPS/N/IND/333/Add.1")</f>
        <v xml:space="preserve"> G/SPS/N/IND/333/Add.1</v>
      </c>
      <c r="D344" s="8" t="s">
        <v>1718</v>
      </c>
      <c r="E344" s="8" t="s">
        <v>1719</v>
      </c>
      <c r="F344" s="8" t="s">
        <v>1720</v>
      </c>
      <c r="G344" s="8" t="s">
        <v>43</v>
      </c>
      <c r="H344" s="8" t="s">
        <v>43</v>
      </c>
      <c r="I344" s="8" t="s">
        <v>1721</v>
      </c>
      <c r="J344" s="8" t="s">
        <v>43</v>
      </c>
      <c r="K344" s="8" t="s">
        <v>1722</v>
      </c>
      <c r="L344" s="6"/>
      <c r="M344" s="7" t="s">
        <v>43</v>
      </c>
      <c r="N344" s="7"/>
      <c r="O344" s="7"/>
      <c r="P344" s="6" t="s">
        <v>44</v>
      </c>
      <c r="Q344" s="8" t="s">
        <v>1723</v>
      </c>
      <c r="R344" t="str">
        <f>HYPERLINK("https://docs.wto.org/imrd/directdoc.asp?DDFDocuments/t/G/SPS/NIND333A1.docx", "https://docs.wto.org/imrd/directdoc.asp?DDFDocuments/t/G/SPS/NIND333A1.docx")</f>
        <v>https://docs.wto.org/imrd/directdoc.asp?DDFDocuments/t/G/SPS/NIND333A1.docx</v>
      </c>
      <c r="S344" t="str">
        <f>HYPERLINK("https://docs.wto.org/imrd/directdoc.asp?DDFDocuments/u/G/SPS/NIND333A1.docx", "https://docs.wto.org/imrd/directdoc.asp?DDFDocuments/u/G/SPS/NIND333A1.docx")</f>
        <v>https://docs.wto.org/imrd/directdoc.asp?DDFDocuments/u/G/SPS/NIND333A1.docx</v>
      </c>
      <c r="T344" t="str">
        <f>HYPERLINK("https://docs.wto.org/imrd/directdoc.asp?DDFDocuments/v/G/SPS/NIND333A1.docx", "https://docs.wto.org/imrd/directdoc.asp?DDFDocuments/v/G/SPS/NIND333A1.docx")</f>
        <v>https://docs.wto.org/imrd/directdoc.asp?DDFDocuments/v/G/SPS/NIND333A1.docx</v>
      </c>
      <c r="U344" t="s">
        <v>43</v>
      </c>
      <c r="V344" t="s">
        <v>43</v>
      </c>
      <c r="W344" t="s">
        <v>43</v>
      </c>
      <c r="X344" t="s">
        <v>43</v>
      </c>
      <c r="Y344" t="s">
        <v>43</v>
      </c>
      <c r="Z344" t="s">
        <v>43</v>
      </c>
      <c r="AA344" t="s">
        <v>43</v>
      </c>
      <c r="AB344" s="2" t="s">
        <v>43</v>
      </c>
      <c r="AC344" t="s">
        <v>43</v>
      </c>
      <c r="AD344" t="s">
        <v>43</v>
      </c>
      <c r="AE344" t="s">
        <v>43</v>
      </c>
      <c r="AF344" t="s">
        <v>43</v>
      </c>
      <c r="AG344" t="s">
        <v>43</v>
      </c>
      <c r="AH344" s="2" t="s">
        <v>43</v>
      </c>
    </row>
    <row r="345" spans="1:34" ht="105">
      <c r="A345" s="6" t="s">
        <v>89</v>
      </c>
      <c r="B345" s="7">
        <v>46080</v>
      </c>
      <c r="C345" s="9" t="str">
        <f>HYPERLINK("https://eping.wto.org/en/Search?viewData= G/TBT/N/CRI/149/Add.2"," G/TBT/N/CRI/149/Add.2")</f>
        <v xml:space="preserve"> G/TBT/N/CRI/149/Add.2</v>
      </c>
      <c r="D345" s="8" t="s">
        <v>1724</v>
      </c>
      <c r="E345" s="8" t="s">
        <v>1725</v>
      </c>
      <c r="F345" s="8" t="s">
        <v>1726</v>
      </c>
      <c r="G345" s="8" t="s">
        <v>43</v>
      </c>
      <c r="H345" s="8" t="s">
        <v>1727</v>
      </c>
      <c r="I345" s="8" t="s">
        <v>275</v>
      </c>
      <c r="J345" s="8" t="s">
        <v>1728</v>
      </c>
      <c r="K345" s="8" t="s">
        <v>43</v>
      </c>
      <c r="L345" s="6"/>
      <c r="M345" s="7" t="s">
        <v>43</v>
      </c>
      <c r="N345" s="7"/>
      <c r="O345" s="7"/>
      <c r="P345" s="6" t="s">
        <v>44</v>
      </c>
      <c r="Q345" s="8" t="s">
        <v>1729</v>
      </c>
      <c r="R345" t="str">
        <f>HYPERLINK("https://docs.wto.org/imrd/directdoc.asp?DDFDocuments/t/G/TBTN15/CRI149A2.docx", "https://docs.wto.org/imrd/directdoc.asp?DDFDocuments/t/G/TBTN15/CRI149A2.docx")</f>
        <v>https://docs.wto.org/imrd/directdoc.asp?DDFDocuments/t/G/TBTN15/CRI149A2.docx</v>
      </c>
      <c r="S345" t="str">
        <f>HYPERLINK("https://docs.wto.org/imrd/directdoc.asp?DDFDocuments/u/G/TBTN15/CRI149A2.docx", "https://docs.wto.org/imrd/directdoc.asp?DDFDocuments/u/G/TBTN15/CRI149A2.docx")</f>
        <v>https://docs.wto.org/imrd/directdoc.asp?DDFDocuments/u/G/TBTN15/CRI149A2.docx</v>
      </c>
      <c r="T345" t="str">
        <f>HYPERLINK("https://docs.wto.org/imrd/directdoc.asp?DDFDocuments/v/G/TBTN15/CRI149A2.docx", "https://docs.wto.org/imrd/directdoc.asp?DDFDocuments/v/G/TBTN15/CRI149A2.docx")</f>
        <v>https://docs.wto.org/imrd/directdoc.asp?DDFDocuments/v/G/TBTN15/CRI149A2.docx</v>
      </c>
      <c r="U345" t="s">
        <v>64</v>
      </c>
      <c r="V345" t="s">
        <v>46</v>
      </c>
      <c r="W345" t="s">
        <v>46</v>
      </c>
      <c r="X345" t="s">
        <v>46</v>
      </c>
      <c r="Y345" t="s">
        <v>46</v>
      </c>
      <c r="Z345" t="s">
        <v>46</v>
      </c>
      <c r="AA345" t="s">
        <v>46</v>
      </c>
      <c r="AB345" s="2" t="s">
        <v>43</v>
      </c>
      <c r="AC345" t="s">
        <v>43</v>
      </c>
      <c r="AD345" t="s">
        <v>43</v>
      </c>
      <c r="AE345" t="s">
        <v>43</v>
      </c>
      <c r="AF345" t="s">
        <v>43</v>
      </c>
      <c r="AG345" t="s">
        <v>43</v>
      </c>
      <c r="AH345" s="2" t="s">
        <v>43</v>
      </c>
    </row>
    <row r="346" spans="1:34" ht="165">
      <c r="A346" s="6" t="s">
        <v>841</v>
      </c>
      <c r="B346" s="7">
        <v>46080</v>
      </c>
      <c r="C346" s="9" t="str">
        <f>HYPERLINK("https://eping.wto.org/en/Search?viewData= G/SPS/N/URY/103/Add.1"," G/SPS/N/URY/103/Add.1")</f>
        <v xml:space="preserve"> G/SPS/N/URY/103/Add.1</v>
      </c>
      <c r="D346" s="8" t="s">
        <v>1730</v>
      </c>
      <c r="E346" s="8" t="s">
        <v>1730</v>
      </c>
      <c r="F346" s="8" t="s">
        <v>1731</v>
      </c>
      <c r="G346" s="8" t="s">
        <v>1732</v>
      </c>
      <c r="H346" s="8" t="s">
        <v>43</v>
      </c>
      <c r="I346" s="8" t="s">
        <v>104</v>
      </c>
      <c r="J346" s="8" t="s">
        <v>43</v>
      </c>
      <c r="K346" s="8" t="s">
        <v>1733</v>
      </c>
      <c r="L346" s="6"/>
      <c r="M346" s="7" t="s">
        <v>43</v>
      </c>
      <c r="N346" s="7"/>
      <c r="O346" s="7"/>
      <c r="P346" s="6" t="s">
        <v>44</v>
      </c>
      <c r="Q346" s="8" t="s">
        <v>1734</v>
      </c>
      <c r="R346" t="str">
        <f>HYPERLINK("https://docs.wto.org/imrd/directdoc.asp?DDFDocuments/t/G/SPS/NURY103A1.docx", "https://docs.wto.org/imrd/directdoc.asp?DDFDocuments/t/G/SPS/NURY103A1.docx")</f>
        <v>https://docs.wto.org/imrd/directdoc.asp?DDFDocuments/t/G/SPS/NURY103A1.docx</v>
      </c>
      <c r="S346" t="str">
        <f>HYPERLINK("https://docs.wto.org/imrd/directdoc.asp?DDFDocuments/u/G/SPS/NURY103A1.docx", "https://docs.wto.org/imrd/directdoc.asp?DDFDocuments/u/G/SPS/NURY103A1.docx")</f>
        <v>https://docs.wto.org/imrd/directdoc.asp?DDFDocuments/u/G/SPS/NURY103A1.docx</v>
      </c>
      <c r="T346" t="str">
        <f>HYPERLINK("https://docs.wto.org/imrd/directdoc.asp?DDFDocuments/v/G/SPS/NURY103A1.docx", "https://docs.wto.org/imrd/directdoc.asp?DDFDocuments/v/G/SPS/NURY103A1.docx")</f>
        <v>https://docs.wto.org/imrd/directdoc.asp?DDFDocuments/v/G/SPS/NURY103A1.docx</v>
      </c>
      <c r="U346" t="s">
        <v>43</v>
      </c>
      <c r="V346" t="s">
        <v>43</v>
      </c>
      <c r="W346" t="s">
        <v>43</v>
      </c>
      <c r="X346" t="s">
        <v>43</v>
      </c>
      <c r="Y346" t="s">
        <v>43</v>
      </c>
      <c r="Z346" t="s">
        <v>43</v>
      </c>
      <c r="AA346" t="s">
        <v>43</v>
      </c>
      <c r="AB346" s="2" t="s">
        <v>43</v>
      </c>
      <c r="AC346" t="s">
        <v>43</v>
      </c>
      <c r="AD346" t="s">
        <v>43</v>
      </c>
      <c r="AE346" t="s">
        <v>43</v>
      </c>
      <c r="AF346" t="s">
        <v>43</v>
      </c>
      <c r="AG346" t="s">
        <v>43</v>
      </c>
      <c r="AH346" s="2" t="s">
        <v>43</v>
      </c>
    </row>
    <row r="347" spans="1:34" ht="255">
      <c r="A347" s="6" t="s">
        <v>249</v>
      </c>
      <c r="B347" s="7">
        <v>46080</v>
      </c>
      <c r="C347" s="9" t="str">
        <f>HYPERLINK("https://eping.wto.org/en/Search?viewData= G/SPS/N/COL/371/Add.1"," G/SPS/N/COL/371/Add.1")</f>
        <v xml:space="preserve"> G/SPS/N/COL/371/Add.1</v>
      </c>
      <c r="D347" s="8" t="s">
        <v>1735</v>
      </c>
      <c r="E347" s="8" t="s">
        <v>1735</v>
      </c>
      <c r="F347" s="8" t="s">
        <v>1736</v>
      </c>
      <c r="G347" s="8" t="s">
        <v>940</v>
      </c>
      <c r="H347" s="8" t="s">
        <v>43</v>
      </c>
      <c r="I347" s="8" t="s">
        <v>94</v>
      </c>
      <c r="J347" s="8" t="s">
        <v>43</v>
      </c>
      <c r="K347" s="8" t="s">
        <v>1737</v>
      </c>
      <c r="L347" s="6"/>
      <c r="M347" s="7" t="s">
        <v>43</v>
      </c>
      <c r="N347" s="7"/>
      <c r="O347" s="7"/>
      <c r="P347" s="6" t="s">
        <v>44</v>
      </c>
      <c r="Q347" s="8" t="s">
        <v>1738</v>
      </c>
      <c r="R347" t="str">
        <f>HYPERLINK("https://docs.wto.org/imrd/directdoc.asp?DDFDocuments/t/G/SPS/NCOL371A1.docx", "https://docs.wto.org/imrd/directdoc.asp?DDFDocuments/t/G/SPS/NCOL371A1.docx")</f>
        <v>https://docs.wto.org/imrd/directdoc.asp?DDFDocuments/t/G/SPS/NCOL371A1.docx</v>
      </c>
      <c r="S347" t="str">
        <f>HYPERLINK("https://docs.wto.org/imrd/directdoc.asp?DDFDocuments/u/G/SPS/NCOL371A1.docx", "https://docs.wto.org/imrd/directdoc.asp?DDFDocuments/u/G/SPS/NCOL371A1.docx")</f>
        <v>https://docs.wto.org/imrd/directdoc.asp?DDFDocuments/u/G/SPS/NCOL371A1.docx</v>
      </c>
      <c r="T347" t="str">
        <f>HYPERLINK("https://docs.wto.org/imrd/directdoc.asp?DDFDocuments/v/G/SPS/NCOL371A1.docx", "https://docs.wto.org/imrd/directdoc.asp?DDFDocuments/v/G/SPS/NCOL371A1.docx")</f>
        <v>https://docs.wto.org/imrd/directdoc.asp?DDFDocuments/v/G/SPS/NCOL371A1.docx</v>
      </c>
      <c r="U347" t="s">
        <v>43</v>
      </c>
      <c r="V347" t="s">
        <v>43</v>
      </c>
      <c r="W347" t="s">
        <v>43</v>
      </c>
      <c r="X347" t="s">
        <v>43</v>
      </c>
      <c r="Y347" t="s">
        <v>43</v>
      </c>
      <c r="Z347" t="s">
        <v>43</v>
      </c>
      <c r="AA347" t="s">
        <v>43</v>
      </c>
      <c r="AB347" s="2" t="s">
        <v>43</v>
      </c>
      <c r="AC347" t="s">
        <v>43</v>
      </c>
      <c r="AD347" t="s">
        <v>43</v>
      </c>
      <c r="AE347" t="s">
        <v>43</v>
      </c>
      <c r="AF347" t="s">
        <v>43</v>
      </c>
      <c r="AG347" t="s">
        <v>43</v>
      </c>
      <c r="AH347" s="2" t="s">
        <v>43</v>
      </c>
    </row>
    <row r="348" spans="1:34" ht="75">
      <c r="A348" s="6" t="s">
        <v>146</v>
      </c>
      <c r="B348" s="7">
        <v>46080</v>
      </c>
      <c r="C348" s="9" t="str">
        <f>HYPERLINK("https://eping.wto.org/en/Search?viewData= G/TBT/N/CHL/779/Add.1"," G/TBT/N/CHL/779/Add.1")</f>
        <v xml:space="preserve"> G/TBT/N/CHL/779/Add.1</v>
      </c>
      <c r="D348" s="8" t="s">
        <v>1739</v>
      </c>
      <c r="E348" s="8" t="s">
        <v>1740</v>
      </c>
      <c r="F348" s="8" t="s">
        <v>1741</v>
      </c>
      <c r="G348" s="8" t="s">
        <v>43</v>
      </c>
      <c r="H348" s="8" t="s">
        <v>1742</v>
      </c>
      <c r="I348" s="8" t="s">
        <v>275</v>
      </c>
      <c r="J348" s="8" t="s">
        <v>43</v>
      </c>
      <c r="K348" s="8" t="s">
        <v>43</v>
      </c>
      <c r="L348" s="6"/>
      <c r="M348" s="7" t="s">
        <v>43</v>
      </c>
      <c r="N348" s="7"/>
      <c r="O348" s="7"/>
      <c r="P348" s="6" t="s">
        <v>44</v>
      </c>
      <c r="Q348" s="8" t="s">
        <v>1743</v>
      </c>
      <c r="R348" t="str">
        <f>HYPERLINK("https://docs.wto.org/imrd/directdoc.asp?DDFDocuments/t/G/TBTN26/CHL779A1.docx", "https://docs.wto.org/imrd/directdoc.asp?DDFDocuments/t/G/TBTN26/CHL779A1.docx")</f>
        <v>https://docs.wto.org/imrd/directdoc.asp?DDFDocuments/t/G/TBTN26/CHL779A1.docx</v>
      </c>
      <c r="S348" t="str">
        <f>HYPERLINK("https://docs.wto.org/imrd/directdoc.asp?DDFDocuments/u/G/TBTN26/CHL779A1.docx", "https://docs.wto.org/imrd/directdoc.asp?DDFDocuments/u/G/TBTN26/CHL779A1.docx")</f>
        <v>https://docs.wto.org/imrd/directdoc.asp?DDFDocuments/u/G/TBTN26/CHL779A1.docx</v>
      </c>
      <c r="T348" t="str">
        <f>HYPERLINK("https://docs.wto.org/imrd/directdoc.asp?DDFDocuments/v/G/TBTN26/CHL779A1.docx", "https://docs.wto.org/imrd/directdoc.asp?DDFDocuments/v/G/TBTN26/CHL779A1.docx")</f>
        <v>https://docs.wto.org/imrd/directdoc.asp?DDFDocuments/v/G/TBTN26/CHL779A1.docx</v>
      </c>
      <c r="U348" t="s">
        <v>46</v>
      </c>
      <c r="V348" t="s">
        <v>46</v>
      </c>
      <c r="W348" t="s">
        <v>46</v>
      </c>
      <c r="X348" t="s">
        <v>46</v>
      </c>
      <c r="Y348" t="s">
        <v>46</v>
      </c>
      <c r="Z348" t="s">
        <v>46</v>
      </c>
      <c r="AA348" t="s">
        <v>46</v>
      </c>
      <c r="AB348" s="2" t="s">
        <v>43</v>
      </c>
      <c r="AC348" t="s">
        <v>43</v>
      </c>
      <c r="AD348" t="s">
        <v>43</v>
      </c>
      <c r="AE348" t="s">
        <v>43</v>
      </c>
      <c r="AF348" t="s">
        <v>43</v>
      </c>
      <c r="AG348" t="s">
        <v>43</v>
      </c>
      <c r="AH348" s="2" t="s">
        <v>43</v>
      </c>
    </row>
    <row r="349" spans="1:34" ht="210">
      <c r="A349" s="6" t="s">
        <v>841</v>
      </c>
      <c r="B349" s="7">
        <v>46080</v>
      </c>
      <c r="C349" s="9" t="str">
        <f>HYPERLINK("https://eping.wto.org/en/Search?viewData= G/SPS/N/URY/106"," G/SPS/N/URY/106")</f>
        <v xml:space="preserve"> G/SPS/N/URY/106</v>
      </c>
      <c r="D349" s="8" t="s">
        <v>1744</v>
      </c>
      <c r="E349" s="8" t="s">
        <v>1745</v>
      </c>
      <c r="F349" s="8" t="s">
        <v>1746</v>
      </c>
      <c r="G349" s="8" t="s">
        <v>1747</v>
      </c>
      <c r="H349" s="8" t="s">
        <v>43</v>
      </c>
      <c r="I349" s="8" t="s">
        <v>104</v>
      </c>
      <c r="J349" s="8" t="s">
        <v>43</v>
      </c>
      <c r="K349" s="8" t="s">
        <v>1748</v>
      </c>
      <c r="L349" s="6" t="s">
        <v>1049</v>
      </c>
      <c r="M349" s="7" t="s">
        <v>43</v>
      </c>
      <c r="N349" s="7"/>
      <c r="O349" s="7">
        <v>46078</v>
      </c>
      <c r="P349" s="6" t="s">
        <v>107</v>
      </c>
      <c r="Q349" s="8" t="s">
        <v>1749</v>
      </c>
      <c r="R349" t="str">
        <f>HYPERLINK("https://docs.wto.org/imrd/directdoc.asp?DDFDocuments/t/G/SPS/NURY106.docx", "https://docs.wto.org/imrd/directdoc.asp?DDFDocuments/t/G/SPS/NURY106.docx")</f>
        <v>https://docs.wto.org/imrd/directdoc.asp?DDFDocuments/t/G/SPS/NURY106.docx</v>
      </c>
      <c r="S349" t="str">
        <f>HYPERLINK("https://docs.wto.org/imrd/directdoc.asp?DDFDocuments/u/G/SPS/NURY106.docx", "https://docs.wto.org/imrd/directdoc.asp?DDFDocuments/u/G/SPS/NURY106.docx")</f>
        <v>https://docs.wto.org/imrd/directdoc.asp?DDFDocuments/u/G/SPS/NURY106.docx</v>
      </c>
      <c r="T349" t="str">
        <f>HYPERLINK("https://docs.wto.org/imrd/directdoc.asp?DDFDocuments/v/G/SPS/NURY106.docx", "https://docs.wto.org/imrd/directdoc.asp?DDFDocuments/v/G/SPS/NURY106.docx")</f>
        <v>https://docs.wto.org/imrd/directdoc.asp?DDFDocuments/v/G/SPS/NURY106.docx</v>
      </c>
      <c r="U349" t="s">
        <v>43</v>
      </c>
      <c r="V349" t="s">
        <v>43</v>
      </c>
      <c r="W349" t="s">
        <v>43</v>
      </c>
      <c r="X349" t="s">
        <v>43</v>
      </c>
      <c r="Y349" t="s">
        <v>43</v>
      </c>
      <c r="Z349" t="s">
        <v>43</v>
      </c>
      <c r="AA349" t="s">
        <v>43</v>
      </c>
      <c r="AB349" s="2" t="s">
        <v>43</v>
      </c>
      <c r="AC349" t="s">
        <v>46</v>
      </c>
      <c r="AD349" t="s">
        <v>64</v>
      </c>
      <c r="AE349" t="s">
        <v>46</v>
      </c>
      <c r="AF349" t="s">
        <v>46</v>
      </c>
      <c r="AG349" t="s">
        <v>64</v>
      </c>
      <c r="AH349" s="2" t="s">
        <v>43</v>
      </c>
    </row>
    <row r="350" spans="1:34" ht="165">
      <c r="A350" s="6" t="s">
        <v>158</v>
      </c>
      <c r="B350" s="7">
        <v>46080</v>
      </c>
      <c r="C350" s="9" t="str">
        <f>HYPERLINK("https://eping.wto.org/en/Search?viewData= G/SPS/N/UKR/258"," G/SPS/N/UKR/258")</f>
        <v xml:space="preserve"> G/SPS/N/UKR/258</v>
      </c>
      <c r="D350" s="8" t="s">
        <v>1750</v>
      </c>
      <c r="E350" s="8" t="s">
        <v>1751</v>
      </c>
      <c r="F350" s="8" t="s">
        <v>1752</v>
      </c>
      <c r="G350" s="8" t="s">
        <v>43</v>
      </c>
      <c r="H350" s="8" t="s">
        <v>43</v>
      </c>
      <c r="I350" s="8" t="s">
        <v>58</v>
      </c>
      <c r="J350" s="8" t="s">
        <v>43</v>
      </c>
      <c r="K350" s="8" t="s">
        <v>310</v>
      </c>
      <c r="L350" s="6" t="s">
        <v>1753</v>
      </c>
      <c r="M350" s="7" t="s">
        <v>43</v>
      </c>
      <c r="N350" s="7" t="s">
        <v>304</v>
      </c>
      <c r="O350" s="7" t="s">
        <v>1754</v>
      </c>
      <c r="P350" s="6" t="s">
        <v>62</v>
      </c>
      <c r="Q350" s="8" t="s">
        <v>1755</v>
      </c>
      <c r="R350" t="str">
        <f>HYPERLINK("https://docs.wto.org/imrd/directdoc.asp?DDFDocuments/t/G/SPS/NUKR258.docx", "https://docs.wto.org/imrd/directdoc.asp?DDFDocuments/t/G/SPS/NUKR258.docx")</f>
        <v>https://docs.wto.org/imrd/directdoc.asp?DDFDocuments/t/G/SPS/NUKR258.docx</v>
      </c>
      <c r="S350" t="str">
        <f>HYPERLINK("https://docs.wto.org/imrd/directdoc.asp?DDFDocuments/u/G/SPS/NUKR258.docx", "https://docs.wto.org/imrd/directdoc.asp?DDFDocuments/u/G/SPS/NUKR258.docx")</f>
        <v>https://docs.wto.org/imrd/directdoc.asp?DDFDocuments/u/G/SPS/NUKR258.docx</v>
      </c>
      <c r="T350" t="str">
        <f>HYPERLINK("https://docs.wto.org/imrd/directdoc.asp?DDFDocuments/v/G/SPS/NUKR258.docx", "https://docs.wto.org/imrd/directdoc.asp?DDFDocuments/v/G/SPS/NUKR258.docx")</f>
        <v>https://docs.wto.org/imrd/directdoc.asp?DDFDocuments/v/G/SPS/NUKR258.docx</v>
      </c>
      <c r="U350" t="s">
        <v>43</v>
      </c>
      <c r="V350" t="s">
        <v>43</v>
      </c>
      <c r="W350" t="s">
        <v>43</v>
      </c>
      <c r="X350" t="s">
        <v>43</v>
      </c>
      <c r="Y350" t="s">
        <v>43</v>
      </c>
      <c r="Z350" t="s">
        <v>43</v>
      </c>
      <c r="AA350" t="s">
        <v>43</v>
      </c>
      <c r="AB350" s="2" t="s">
        <v>43</v>
      </c>
      <c r="AC350" t="s">
        <v>46</v>
      </c>
      <c r="AD350" t="s">
        <v>46</v>
      </c>
      <c r="AE350" t="s">
        <v>46</v>
      </c>
      <c r="AF350" t="s">
        <v>64</v>
      </c>
      <c r="AG350" t="s">
        <v>99</v>
      </c>
      <c r="AH350" s="2" t="s">
        <v>43</v>
      </c>
    </row>
    <row r="351" spans="1:34" ht="60">
      <c r="A351" s="6" t="s">
        <v>74</v>
      </c>
      <c r="B351" s="7">
        <v>46080</v>
      </c>
      <c r="C351" s="9" t="str">
        <f>HYPERLINK("https://eping.wto.org/en/Search?viewData= G/SPS/N/IND/348"," G/SPS/N/IND/348")</f>
        <v xml:space="preserve"> G/SPS/N/IND/348</v>
      </c>
      <c r="D351" s="8" t="s">
        <v>1756</v>
      </c>
      <c r="E351" s="8" t="s">
        <v>1757</v>
      </c>
      <c r="F351" s="8" t="s">
        <v>1758</v>
      </c>
      <c r="G351" s="8" t="s">
        <v>43</v>
      </c>
      <c r="H351" s="8" t="s">
        <v>43</v>
      </c>
      <c r="I351" s="8" t="s">
        <v>1721</v>
      </c>
      <c r="J351" s="8" t="s">
        <v>43</v>
      </c>
      <c r="K351" s="8" t="s">
        <v>1759</v>
      </c>
      <c r="L351" s="6" t="s">
        <v>43</v>
      </c>
      <c r="M351" s="7">
        <v>46140</v>
      </c>
      <c r="N351" s="7" t="s">
        <v>304</v>
      </c>
      <c r="O351" s="7" t="s">
        <v>304</v>
      </c>
      <c r="P351" s="6" t="s">
        <v>62</v>
      </c>
      <c r="Q351" s="8" t="s">
        <v>1760</v>
      </c>
      <c r="R351" t="str">
        <f>HYPERLINK("https://docs.wto.org/imrd/directdoc.asp?DDFDocuments/t/G/SPS/NIND348.docx", "https://docs.wto.org/imrd/directdoc.asp?DDFDocuments/t/G/SPS/NIND348.docx")</f>
        <v>https://docs.wto.org/imrd/directdoc.asp?DDFDocuments/t/G/SPS/NIND348.docx</v>
      </c>
      <c r="S351" t="str">
        <f>HYPERLINK("https://docs.wto.org/imrd/directdoc.asp?DDFDocuments/u/G/SPS/NIND348.docx", "https://docs.wto.org/imrd/directdoc.asp?DDFDocuments/u/G/SPS/NIND348.docx")</f>
        <v>https://docs.wto.org/imrd/directdoc.asp?DDFDocuments/u/G/SPS/NIND348.docx</v>
      </c>
      <c r="T351" t="str">
        <f>HYPERLINK("https://docs.wto.org/imrd/directdoc.asp?DDFDocuments/v/G/SPS/NIND348.docx", "https://docs.wto.org/imrd/directdoc.asp?DDFDocuments/v/G/SPS/NIND348.docx")</f>
        <v>https://docs.wto.org/imrd/directdoc.asp?DDFDocuments/v/G/SPS/NIND348.docx</v>
      </c>
      <c r="U351" t="s">
        <v>43</v>
      </c>
      <c r="V351" t="s">
        <v>43</v>
      </c>
      <c r="W351" t="s">
        <v>43</v>
      </c>
      <c r="X351" t="s">
        <v>43</v>
      </c>
      <c r="Y351" t="s">
        <v>43</v>
      </c>
      <c r="Z351" t="s">
        <v>43</v>
      </c>
      <c r="AA351" t="s">
        <v>43</v>
      </c>
      <c r="AB351" s="2" t="s">
        <v>43</v>
      </c>
      <c r="AC351" t="s">
        <v>46</v>
      </c>
      <c r="AD351" t="s">
        <v>64</v>
      </c>
      <c r="AE351" t="s">
        <v>46</v>
      </c>
      <c r="AF351" t="s">
        <v>46</v>
      </c>
      <c r="AG351" t="s">
        <v>64</v>
      </c>
      <c r="AH351" s="2" t="s">
        <v>43</v>
      </c>
    </row>
    <row r="352" spans="1:34">
      <c r="A352" s="6" t="s">
        <v>488</v>
      </c>
      <c r="B352" s="7">
        <v>46080</v>
      </c>
      <c r="C352" s="9" t="str">
        <f>HYPERLINK("https://eping.wto.org/en/Search?viewData= G/TBT/15.2/N/ZAF"," G/TBT/15.2/N/ZAF")</f>
        <v xml:space="preserve"> G/TBT/15.2/N/ZAF</v>
      </c>
      <c r="D352" s="8" t="s">
        <v>43</v>
      </c>
      <c r="E352" s="8" t="s">
        <v>43</v>
      </c>
      <c r="F352" s="8" t="s">
        <v>43</v>
      </c>
      <c r="G352" s="8" t="s">
        <v>43</v>
      </c>
      <c r="H352" s="8" t="s">
        <v>43</v>
      </c>
      <c r="I352" s="8" t="s">
        <v>43</v>
      </c>
      <c r="J352" s="8" t="s">
        <v>43</v>
      </c>
      <c r="K352" s="8" t="s">
        <v>43</v>
      </c>
      <c r="L352" s="6"/>
      <c r="M352" s="7" t="s">
        <v>43</v>
      </c>
      <c r="N352" s="7"/>
      <c r="O352" s="7"/>
      <c r="P352" s="6" t="s">
        <v>1761</v>
      </c>
      <c r="Q352" s="6"/>
      <c r="R352" t="str">
        <f>HYPERLINK("https://docs.wto.org/imrd/directdoc.asp?DDFDocuments/t/G/TBT15_2/NZAF.docx", "https://docs.wto.org/imrd/directdoc.asp?DDFDocuments/t/G/TBT15_2/NZAF.docx")</f>
        <v>https://docs.wto.org/imrd/directdoc.asp?DDFDocuments/t/G/TBT15_2/NZAF.docx</v>
      </c>
      <c r="S352" t="str">
        <f>HYPERLINK("https://docs.wto.org/imrd/directdoc.asp?DDFDocuments/u/G/TBT15_2/NZAF.docx", "https://docs.wto.org/imrd/directdoc.asp?DDFDocuments/u/G/TBT15_2/NZAF.docx")</f>
        <v>https://docs.wto.org/imrd/directdoc.asp?DDFDocuments/u/G/TBT15_2/NZAF.docx</v>
      </c>
      <c r="T352" t="str">
        <f>HYPERLINK("https://docs.wto.org/imrd/directdoc.asp?DDFDocuments/v/G/TBT15_2/NZAF.docx", "https://docs.wto.org/imrd/directdoc.asp?DDFDocuments/v/G/TBT15_2/NZAF.docx")</f>
        <v>https://docs.wto.org/imrd/directdoc.asp?DDFDocuments/v/G/TBT15_2/NZAF.docx</v>
      </c>
      <c r="U352" t="s">
        <v>43</v>
      </c>
      <c r="V352" t="s">
        <v>43</v>
      </c>
      <c r="W352" t="s">
        <v>43</v>
      </c>
      <c r="X352" t="s">
        <v>43</v>
      </c>
      <c r="Y352" t="s">
        <v>43</v>
      </c>
      <c r="Z352" t="s">
        <v>43</v>
      </c>
      <c r="AA352" t="s">
        <v>43</v>
      </c>
      <c r="AB352" s="2" t="s">
        <v>43</v>
      </c>
      <c r="AC352" t="s">
        <v>43</v>
      </c>
      <c r="AD352" t="s">
        <v>43</v>
      </c>
      <c r="AE352" t="s">
        <v>43</v>
      </c>
      <c r="AF352" t="s">
        <v>43</v>
      </c>
      <c r="AG352" t="s">
        <v>43</v>
      </c>
      <c r="AH352" s="2" t="s">
        <v>43</v>
      </c>
    </row>
    <row r="353" spans="1:34" ht="150">
      <c r="A353" s="6" t="s">
        <v>1762</v>
      </c>
      <c r="B353" s="7">
        <v>46080</v>
      </c>
      <c r="C353" s="9" t="str">
        <f>HYPERLINK("https://eping.wto.org/en/Search?viewData= G/TBT/N/MNG/21"," G/TBT/N/MNG/21")</f>
        <v xml:space="preserve"> G/TBT/N/MNG/21</v>
      </c>
      <c r="D353" s="8" t="s">
        <v>1763</v>
      </c>
      <c r="E353" s="8" t="s">
        <v>1764</v>
      </c>
      <c r="F353" s="8" t="s">
        <v>1765</v>
      </c>
      <c r="G353" s="8" t="s">
        <v>602</v>
      </c>
      <c r="H353" s="8" t="s">
        <v>112</v>
      </c>
      <c r="I353" s="8" t="s">
        <v>143</v>
      </c>
      <c r="J353" s="8" t="s">
        <v>43</v>
      </c>
      <c r="K353" s="8" t="s">
        <v>43</v>
      </c>
      <c r="L353" s="6"/>
      <c r="M353" s="7">
        <v>46140</v>
      </c>
      <c r="N353" s="7">
        <v>46157</v>
      </c>
      <c r="O353" s="7">
        <v>46262</v>
      </c>
      <c r="P353" s="6" t="s">
        <v>62</v>
      </c>
      <c r="Q353" s="8" t="s">
        <v>1766</v>
      </c>
      <c r="R353" t="str">
        <f>HYPERLINK("https://docs.wto.org/imrd/directdoc.asp?DDFDocuments/t/G/TBTN26/MNG21.docx", "https://docs.wto.org/imrd/directdoc.asp?DDFDocuments/t/G/TBTN26/MNG21.docx")</f>
        <v>https://docs.wto.org/imrd/directdoc.asp?DDFDocuments/t/G/TBTN26/MNG21.docx</v>
      </c>
      <c r="S353" t="str">
        <f>HYPERLINK("https://docs.wto.org/imrd/directdoc.asp?DDFDocuments/u/G/TBTN26/MNG21.docx", "https://docs.wto.org/imrd/directdoc.asp?DDFDocuments/u/G/TBTN26/MNG21.docx")</f>
        <v>https://docs.wto.org/imrd/directdoc.asp?DDFDocuments/u/G/TBTN26/MNG21.docx</v>
      </c>
      <c r="T353" t="str">
        <f>HYPERLINK("https://docs.wto.org/imrd/directdoc.asp?DDFDocuments/v/G/TBTN26/MNG21.docx", "https://docs.wto.org/imrd/directdoc.asp?DDFDocuments/v/G/TBTN26/MNG21.docx")</f>
        <v>https://docs.wto.org/imrd/directdoc.asp?DDFDocuments/v/G/TBTN26/MNG21.docx</v>
      </c>
      <c r="U353" t="s">
        <v>64</v>
      </c>
      <c r="V353" t="s">
        <v>46</v>
      </c>
      <c r="W353" t="s">
        <v>46</v>
      </c>
      <c r="X353" t="s">
        <v>46</v>
      </c>
      <c r="Y353" t="s">
        <v>46</v>
      </c>
      <c r="Z353" t="s">
        <v>46</v>
      </c>
      <c r="AA353" t="s">
        <v>46</v>
      </c>
      <c r="AB353" s="2" t="s">
        <v>1767</v>
      </c>
      <c r="AC353" t="s">
        <v>43</v>
      </c>
      <c r="AD353" t="s">
        <v>43</v>
      </c>
      <c r="AE353" t="s">
        <v>43</v>
      </c>
      <c r="AF353" t="s">
        <v>43</v>
      </c>
      <c r="AG353" t="s">
        <v>43</v>
      </c>
      <c r="AH353" s="2" t="s">
        <v>43</v>
      </c>
    </row>
    <row r="354" spans="1:34" ht="120">
      <c r="A354" s="6" t="s">
        <v>356</v>
      </c>
      <c r="B354" s="7">
        <v>46079</v>
      </c>
      <c r="C354" s="9" t="str">
        <f>HYPERLINK("https://eping.wto.org/en/Search?viewData= G/SPS/N/EU/922"," G/SPS/N/EU/922")</f>
        <v xml:space="preserve"> G/SPS/N/EU/922</v>
      </c>
      <c r="D354" s="8" t="s">
        <v>1768</v>
      </c>
      <c r="E354" s="8" t="s">
        <v>1769</v>
      </c>
      <c r="F354" s="8" t="s">
        <v>1770</v>
      </c>
      <c r="G354" s="8" t="s">
        <v>1771</v>
      </c>
      <c r="H354" s="8" t="s">
        <v>43</v>
      </c>
      <c r="I354" s="8" t="s">
        <v>58</v>
      </c>
      <c r="J354" s="8" t="s">
        <v>43</v>
      </c>
      <c r="K354" s="8" t="s">
        <v>1772</v>
      </c>
      <c r="L354" s="6"/>
      <c r="M354" s="7" t="s">
        <v>43</v>
      </c>
      <c r="N354" s="7"/>
      <c r="O354" s="7">
        <v>46079</v>
      </c>
      <c r="P354" s="6" t="s">
        <v>107</v>
      </c>
      <c r="Q354" s="8" t="s">
        <v>1773</v>
      </c>
      <c r="R354" t="str">
        <f>HYPERLINK("https://docs.wto.org/imrd/directdoc.asp?DDFDocuments/t/G/SPS/NEU922.docx", "https://docs.wto.org/imrd/directdoc.asp?DDFDocuments/t/G/SPS/NEU922.docx")</f>
        <v>https://docs.wto.org/imrd/directdoc.asp?DDFDocuments/t/G/SPS/NEU922.docx</v>
      </c>
      <c r="S354" t="str">
        <f>HYPERLINK("https://docs.wto.org/imrd/directdoc.asp?DDFDocuments/u/G/SPS/NEU922.docx", "https://docs.wto.org/imrd/directdoc.asp?DDFDocuments/u/G/SPS/NEU922.docx")</f>
        <v>https://docs.wto.org/imrd/directdoc.asp?DDFDocuments/u/G/SPS/NEU922.docx</v>
      </c>
      <c r="T354" t="str">
        <f>HYPERLINK("https://docs.wto.org/imrd/directdoc.asp?DDFDocuments/v/G/SPS/NEU922.docx", "https://docs.wto.org/imrd/directdoc.asp?DDFDocuments/v/G/SPS/NEU922.docx")</f>
        <v>https://docs.wto.org/imrd/directdoc.asp?DDFDocuments/v/G/SPS/NEU922.docx</v>
      </c>
      <c r="U354" t="s">
        <v>43</v>
      </c>
      <c r="V354" t="s">
        <v>43</v>
      </c>
      <c r="W354" t="s">
        <v>43</v>
      </c>
      <c r="X354" t="s">
        <v>43</v>
      </c>
      <c r="Y354" t="s">
        <v>43</v>
      </c>
      <c r="Z354" t="s">
        <v>43</v>
      </c>
      <c r="AA354" t="s">
        <v>43</v>
      </c>
      <c r="AB354" s="2" t="s">
        <v>43</v>
      </c>
      <c r="AC354" t="s">
        <v>46</v>
      </c>
      <c r="AD354" t="s">
        <v>46</v>
      </c>
      <c r="AE354" t="s">
        <v>46</v>
      </c>
      <c r="AF354" t="s">
        <v>64</v>
      </c>
      <c r="AG354" t="s">
        <v>99</v>
      </c>
      <c r="AH354" s="2" t="s">
        <v>43</v>
      </c>
    </row>
    <row r="355" spans="1:34" ht="409.5">
      <c r="A355" s="6" t="s">
        <v>47</v>
      </c>
      <c r="B355" s="7">
        <v>46079</v>
      </c>
      <c r="C355" s="9" t="str">
        <f>HYPERLINK("https://eping.wto.org/en/Search?viewData= G/TBT/N/CAN/765/Add.1"," G/TBT/N/CAN/765/Add.1")</f>
        <v xml:space="preserve"> G/TBT/N/CAN/765/Add.1</v>
      </c>
      <c r="D355" s="8" t="s">
        <v>1774</v>
      </c>
      <c r="E355" s="8" t="s">
        <v>1775</v>
      </c>
      <c r="F355" s="8" t="s">
        <v>857</v>
      </c>
      <c r="G355" s="8" t="s">
        <v>43</v>
      </c>
      <c r="H355" s="8" t="s">
        <v>858</v>
      </c>
      <c r="I355" s="8" t="s">
        <v>52</v>
      </c>
      <c r="J355" s="8" t="s">
        <v>1776</v>
      </c>
      <c r="K355" s="8" t="s">
        <v>860</v>
      </c>
      <c r="L355" s="6"/>
      <c r="M355" s="7">
        <v>46095</v>
      </c>
      <c r="N355" s="7"/>
      <c r="O355" s="7"/>
      <c r="P355" s="6" t="s">
        <v>44</v>
      </c>
      <c r="Q355" s="6"/>
      <c r="R355" t="str">
        <f>HYPERLINK("https://docs.wto.org/imrd/directdoc.asp?DDFDocuments/t/G/TBTN26/CAN765A1.docx", "https://docs.wto.org/imrd/directdoc.asp?DDFDocuments/t/G/TBTN26/CAN765A1.docx")</f>
        <v>https://docs.wto.org/imrd/directdoc.asp?DDFDocuments/t/G/TBTN26/CAN765A1.docx</v>
      </c>
      <c r="S355" t="str">
        <f>HYPERLINK("https://docs.wto.org/imrd/directdoc.asp?DDFDocuments/u/G/TBTN26/CAN765A1.docx", "https://docs.wto.org/imrd/directdoc.asp?DDFDocuments/u/G/TBTN26/CAN765A1.docx")</f>
        <v>https://docs.wto.org/imrd/directdoc.asp?DDFDocuments/u/G/TBTN26/CAN765A1.docx</v>
      </c>
      <c r="T355" t="str">
        <f>HYPERLINK("https://docs.wto.org/imrd/directdoc.asp?DDFDocuments/v/G/TBTN26/CAN765A1.docx", "https://docs.wto.org/imrd/directdoc.asp?DDFDocuments/v/G/TBTN26/CAN765A1.docx")</f>
        <v>https://docs.wto.org/imrd/directdoc.asp?DDFDocuments/v/G/TBTN26/CAN765A1.docx</v>
      </c>
      <c r="U355" t="s">
        <v>46</v>
      </c>
      <c r="V355" t="s">
        <v>46</v>
      </c>
      <c r="W355" t="s">
        <v>46</v>
      </c>
      <c r="X355" t="s">
        <v>46</v>
      </c>
      <c r="Y355" t="s">
        <v>46</v>
      </c>
      <c r="Z355" t="s">
        <v>46</v>
      </c>
      <c r="AA355" t="s">
        <v>46</v>
      </c>
      <c r="AB355" s="2" t="s">
        <v>43</v>
      </c>
      <c r="AC355" t="s">
        <v>43</v>
      </c>
      <c r="AD355" t="s">
        <v>43</v>
      </c>
      <c r="AE355" t="s">
        <v>43</v>
      </c>
      <c r="AF355" t="s">
        <v>43</v>
      </c>
      <c r="AG355" t="s">
        <v>43</v>
      </c>
      <c r="AH355" s="2" t="s">
        <v>43</v>
      </c>
    </row>
    <row r="356" spans="1:34" ht="195">
      <c r="A356" s="6" t="s">
        <v>1777</v>
      </c>
      <c r="B356" s="7">
        <v>46079</v>
      </c>
      <c r="C356" s="9" t="str">
        <f>HYPERLINK("https://eping.wto.org/en/Search?viewData= G/TBT/N/DNK/147"," G/TBT/N/DNK/147")</f>
        <v xml:space="preserve"> G/TBT/N/DNK/147</v>
      </c>
      <c r="D356" s="8" t="s">
        <v>1778</v>
      </c>
      <c r="E356" s="8" t="s">
        <v>1779</v>
      </c>
      <c r="F356" s="8" t="s">
        <v>1780</v>
      </c>
      <c r="G356" s="8" t="s">
        <v>1781</v>
      </c>
      <c r="H356" s="8" t="s">
        <v>1782</v>
      </c>
      <c r="I356" s="8" t="s">
        <v>1783</v>
      </c>
      <c r="J356" s="8" t="s">
        <v>43</v>
      </c>
      <c r="K356" s="8" t="s">
        <v>43</v>
      </c>
      <c r="L356" s="6"/>
      <c r="M356" s="7">
        <v>46139</v>
      </c>
      <c r="N356" s="7">
        <v>46174</v>
      </c>
      <c r="O356" s="7">
        <v>46204</v>
      </c>
      <c r="P356" s="6" t="s">
        <v>62</v>
      </c>
      <c r="Q356" s="8" t="s">
        <v>1784</v>
      </c>
      <c r="R356" t="str">
        <f>HYPERLINK("https://docs.wto.org/imrd/directdoc.asp?DDFDocuments/t/G/TBTN26/DNK147.docx", "https://docs.wto.org/imrd/directdoc.asp?DDFDocuments/t/G/TBTN26/DNK147.docx")</f>
        <v>https://docs.wto.org/imrd/directdoc.asp?DDFDocuments/t/G/TBTN26/DNK147.docx</v>
      </c>
      <c r="S356" t="str">
        <f>HYPERLINK("https://docs.wto.org/imrd/directdoc.asp?DDFDocuments/u/G/TBTN26/DNK147.docx", "https://docs.wto.org/imrd/directdoc.asp?DDFDocuments/u/G/TBTN26/DNK147.docx")</f>
        <v>https://docs.wto.org/imrd/directdoc.asp?DDFDocuments/u/G/TBTN26/DNK147.docx</v>
      </c>
      <c r="T356" t="str">
        <f>HYPERLINK("https://docs.wto.org/imrd/directdoc.asp?DDFDocuments/v/G/TBTN26/DNK147.docx", "https://docs.wto.org/imrd/directdoc.asp?DDFDocuments/v/G/TBTN26/DNK147.docx")</f>
        <v>https://docs.wto.org/imrd/directdoc.asp?DDFDocuments/v/G/TBTN26/DNK147.docx</v>
      </c>
      <c r="U356" t="s">
        <v>64</v>
      </c>
      <c r="V356" t="s">
        <v>46</v>
      </c>
      <c r="W356" t="s">
        <v>46</v>
      </c>
      <c r="X356" t="s">
        <v>46</v>
      </c>
      <c r="Y356" t="s">
        <v>46</v>
      </c>
      <c r="Z356" t="s">
        <v>46</v>
      </c>
      <c r="AA356" t="s">
        <v>46</v>
      </c>
      <c r="AB356" s="2" t="s">
        <v>1785</v>
      </c>
      <c r="AC356" t="s">
        <v>43</v>
      </c>
      <c r="AD356" t="s">
        <v>43</v>
      </c>
      <c r="AE356" t="s">
        <v>43</v>
      </c>
      <c r="AF356" t="s">
        <v>43</v>
      </c>
      <c r="AG356" t="s">
        <v>43</v>
      </c>
      <c r="AH356" s="2" t="s">
        <v>43</v>
      </c>
    </row>
    <row r="357" spans="1:34" ht="360">
      <c r="A357" s="6" t="s">
        <v>132</v>
      </c>
      <c r="B357" s="7">
        <v>46079</v>
      </c>
      <c r="C357" s="9" t="str">
        <f>HYPERLINK("https://eping.wto.org/en/Search?viewData= G/TBT/N/USA/1727/Rev.3/Add.1"," G/TBT/N/USA/1727/Rev.3/Add.1")</f>
        <v xml:space="preserve"> G/TBT/N/USA/1727/Rev.3/Add.1</v>
      </c>
      <c r="D357" s="8" t="s">
        <v>1786</v>
      </c>
      <c r="E357" s="8" t="s">
        <v>1787</v>
      </c>
      <c r="F357" s="8" t="s">
        <v>1788</v>
      </c>
      <c r="G357" s="8" t="s">
        <v>43</v>
      </c>
      <c r="H357" s="8" t="s">
        <v>1789</v>
      </c>
      <c r="I357" s="8" t="s">
        <v>1790</v>
      </c>
      <c r="J357" s="8" t="s">
        <v>43</v>
      </c>
      <c r="K357" s="8" t="s">
        <v>43</v>
      </c>
      <c r="L357" s="6"/>
      <c r="M357" s="7" t="s">
        <v>43</v>
      </c>
      <c r="N357" s="7"/>
      <c r="O357" s="7"/>
      <c r="P357" s="6" t="s">
        <v>44</v>
      </c>
      <c r="Q357" s="8" t="s">
        <v>1791</v>
      </c>
      <c r="R357" t="str">
        <f>HYPERLINK("https://docs.wto.org/imrd/directdoc.asp?DDFDocuments/t/G/TBTN21/USA1727R3A1.docx", "https://docs.wto.org/imrd/directdoc.asp?DDFDocuments/t/G/TBTN21/USA1727R3A1.docx")</f>
        <v>https://docs.wto.org/imrd/directdoc.asp?DDFDocuments/t/G/TBTN21/USA1727R3A1.docx</v>
      </c>
      <c r="S357" t="str">
        <f>HYPERLINK("https://docs.wto.org/imrd/directdoc.asp?DDFDocuments/u/G/TBTN21/USA1727R3A1.docx", "https://docs.wto.org/imrd/directdoc.asp?DDFDocuments/u/G/TBTN21/USA1727R3A1.docx")</f>
        <v>https://docs.wto.org/imrd/directdoc.asp?DDFDocuments/u/G/TBTN21/USA1727R3A1.docx</v>
      </c>
      <c r="T357" t="str">
        <f>HYPERLINK("https://docs.wto.org/imrd/directdoc.asp?DDFDocuments/v/G/TBTN21/USA1727R3A1.docx", "https://docs.wto.org/imrd/directdoc.asp?DDFDocuments/v/G/TBTN21/USA1727R3A1.docx")</f>
        <v>https://docs.wto.org/imrd/directdoc.asp?DDFDocuments/v/G/TBTN21/USA1727R3A1.docx</v>
      </c>
      <c r="U357" t="s">
        <v>46</v>
      </c>
      <c r="V357" t="s">
        <v>46</v>
      </c>
      <c r="W357" t="s">
        <v>46</v>
      </c>
      <c r="X357" t="s">
        <v>46</v>
      </c>
      <c r="Y357" t="s">
        <v>46</v>
      </c>
      <c r="Z357" t="s">
        <v>46</v>
      </c>
      <c r="AA357" t="s">
        <v>46</v>
      </c>
      <c r="AB357" s="2" t="s">
        <v>43</v>
      </c>
      <c r="AC357" t="s">
        <v>43</v>
      </c>
      <c r="AD357" t="s">
        <v>43</v>
      </c>
      <c r="AE357" t="s">
        <v>43</v>
      </c>
      <c r="AF357" t="s">
        <v>43</v>
      </c>
      <c r="AG357" t="s">
        <v>43</v>
      </c>
      <c r="AH357" s="2" t="s">
        <v>43</v>
      </c>
    </row>
    <row r="358" spans="1:34" ht="150">
      <c r="A358" s="6" t="s">
        <v>132</v>
      </c>
      <c r="B358" s="7">
        <v>46078</v>
      </c>
      <c r="C358" s="9" t="str">
        <f>HYPERLINK("https://eping.wto.org/en/Search?viewData= G/SPS/N/USA/3556"," G/SPS/N/USA/3556")</f>
        <v xml:space="preserve"> G/SPS/N/USA/3556</v>
      </c>
      <c r="D358" s="8" t="s">
        <v>1792</v>
      </c>
      <c r="E358" s="8" t="s">
        <v>1793</v>
      </c>
      <c r="F358" s="8" t="s">
        <v>1471</v>
      </c>
      <c r="G358" s="8" t="s">
        <v>43</v>
      </c>
      <c r="H358" s="8" t="s">
        <v>43</v>
      </c>
      <c r="I358" s="8" t="s">
        <v>58</v>
      </c>
      <c r="J358" s="8" t="s">
        <v>43</v>
      </c>
      <c r="K358" s="8" t="s">
        <v>157</v>
      </c>
      <c r="L358" s="6"/>
      <c r="M358" s="7" t="s">
        <v>43</v>
      </c>
      <c r="N358" s="7">
        <v>46073</v>
      </c>
      <c r="O358" s="7">
        <v>45807</v>
      </c>
      <c r="P358" s="6" t="s">
        <v>62</v>
      </c>
      <c r="Q358" s="8" t="s">
        <v>1794</v>
      </c>
      <c r="R358" t="str">
        <f>HYPERLINK("https://docs.wto.org/imrd/directdoc.asp?DDFDocuments/t/G/SPS/NUSA3556.docx", "https://docs.wto.org/imrd/directdoc.asp?DDFDocuments/t/G/SPS/NUSA3556.docx")</f>
        <v>https://docs.wto.org/imrd/directdoc.asp?DDFDocuments/t/G/SPS/NUSA3556.docx</v>
      </c>
      <c r="S358" t="str">
        <f>HYPERLINK("https://docs.wto.org/imrd/directdoc.asp?DDFDocuments/u/G/SPS/NUSA3556.docx", "https://docs.wto.org/imrd/directdoc.asp?DDFDocuments/u/G/SPS/NUSA3556.docx")</f>
        <v>https://docs.wto.org/imrd/directdoc.asp?DDFDocuments/u/G/SPS/NUSA3556.docx</v>
      </c>
      <c r="T358" t="str">
        <f>HYPERLINK("https://docs.wto.org/imrd/directdoc.asp?DDFDocuments/v/G/SPS/NUSA3556.docx", "https://docs.wto.org/imrd/directdoc.asp?DDFDocuments/v/G/SPS/NUSA3556.docx")</f>
        <v>https://docs.wto.org/imrd/directdoc.asp?DDFDocuments/v/G/SPS/NUSA3556.docx</v>
      </c>
      <c r="U358" t="s">
        <v>43</v>
      </c>
      <c r="V358" t="s">
        <v>43</v>
      </c>
      <c r="W358" t="s">
        <v>43</v>
      </c>
      <c r="X358" t="s">
        <v>43</v>
      </c>
      <c r="Y358" t="s">
        <v>43</v>
      </c>
      <c r="Z358" t="s">
        <v>43</v>
      </c>
      <c r="AA358" t="s">
        <v>43</v>
      </c>
      <c r="AB358" s="2" t="s">
        <v>43</v>
      </c>
      <c r="AC358" t="s">
        <v>46</v>
      </c>
      <c r="AD358" t="s">
        <v>46</v>
      </c>
      <c r="AE358" t="s">
        <v>46</v>
      </c>
      <c r="AF358" t="s">
        <v>64</v>
      </c>
      <c r="AG358" t="s">
        <v>99</v>
      </c>
      <c r="AH358" s="2" t="s">
        <v>43</v>
      </c>
    </row>
    <row r="359" spans="1:34" ht="90">
      <c r="A359" s="6" t="s">
        <v>904</v>
      </c>
      <c r="B359" s="7">
        <v>46078</v>
      </c>
      <c r="C359" s="9" t="str">
        <f>HYPERLINK("https://eping.wto.org/en/Search?viewData= G/TBT/N/MEX/545/Add.1"," G/TBT/N/MEX/545/Add.1")</f>
        <v xml:space="preserve"> G/TBT/N/MEX/545/Add.1</v>
      </c>
      <c r="D359" s="8" t="s">
        <v>1795</v>
      </c>
      <c r="E359" s="8" t="s">
        <v>1796</v>
      </c>
      <c r="F359" s="8" t="s">
        <v>1797</v>
      </c>
      <c r="G359" s="8" t="s">
        <v>43</v>
      </c>
      <c r="H359" s="8" t="s">
        <v>1798</v>
      </c>
      <c r="I359" s="8" t="s">
        <v>143</v>
      </c>
      <c r="J359" s="8" t="s">
        <v>43</v>
      </c>
      <c r="K359" s="8" t="s">
        <v>43</v>
      </c>
      <c r="L359" s="6"/>
      <c r="M359" s="7" t="s">
        <v>43</v>
      </c>
      <c r="N359" s="7"/>
      <c r="O359" s="7"/>
      <c r="P359" s="6" t="s">
        <v>44</v>
      </c>
      <c r="Q359" s="6"/>
      <c r="R359" t="str">
        <f>HYPERLINK("https://docs.wto.org/imrd/directdoc.asp?DDFDocuments/t/G/TBTN25/MEX545A1.docx", "https://docs.wto.org/imrd/directdoc.asp?DDFDocuments/t/G/TBTN25/MEX545A1.docx")</f>
        <v>https://docs.wto.org/imrd/directdoc.asp?DDFDocuments/t/G/TBTN25/MEX545A1.docx</v>
      </c>
      <c r="S359" t="str">
        <f>HYPERLINK("https://docs.wto.org/imrd/directdoc.asp?DDFDocuments/u/G/TBTN25/MEX545A1.docx", "https://docs.wto.org/imrd/directdoc.asp?DDFDocuments/u/G/TBTN25/MEX545A1.docx")</f>
        <v>https://docs.wto.org/imrd/directdoc.asp?DDFDocuments/u/G/TBTN25/MEX545A1.docx</v>
      </c>
      <c r="T359" t="str">
        <f>HYPERLINK("https://docs.wto.org/imrd/directdoc.asp?DDFDocuments/v/G/TBTN25/MEX545A1.docx", "https://docs.wto.org/imrd/directdoc.asp?DDFDocuments/v/G/TBTN25/MEX545A1.docx")</f>
        <v>https://docs.wto.org/imrd/directdoc.asp?DDFDocuments/v/G/TBTN25/MEX545A1.docx</v>
      </c>
      <c r="U359" t="s">
        <v>46</v>
      </c>
      <c r="V359" t="s">
        <v>46</v>
      </c>
      <c r="W359" t="s">
        <v>46</v>
      </c>
      <c r="X359" t="s">
        <v>46</v>
      </c>
      <c r="Y359" t="s">
        <v>46</v>
      </c>
      <c r="Z359" t="s">
        <v>46</v>
      </c>
      <c r="AA359" t="s">
        <v>46</v>
      </c>
      <c r="AB359" s="2" t="s">
        <v>43</v>
      </c>
      <c r="AC359" t="s">
        <v>43</v>
      </c>
      <c r="AD359" t="s">
        <v>43</v>
      </c>
      <c r="AE359" t="s">
        <v>43</v>
      </c>
      <c r="AF359" t="s">
        <v>43</v>
      </c>
      <c r="AG359" t="s">
        <v>43</v>
      </c>
      <c r="AH359" s="2" t="s">
        <v>43</v>
      </c>
    </row>
    <row r="360" spans="1:34" ht="30">
      <c r="A360" s="6" t="s">
        <v>1799</v>
      </c>
      <c r="B360" s="7">
        <v>46078</v>
      </c>
      <c r="C360" s="9" t="str">
        <f>HYPERLINK("https://eping.wto.org/en/Search?viewData= G/TBT/N/ARE/697, G/TBT/N/BHR/775, G/TBT/N/KWT/759, G/TBT/N/OMN/598, G/TBT/N/QAT/749, G/TBT/N/SAU/1432, G/TBT/N/YEM/348"," G/TBT/N/ARE/697, G/TBT/N/BHR/775, G/TBT/N/KWT/759, G/TBT/N/OMN/598, G/TBT/N/QAT/749, G/TBT/N/SAU/1432, G/TBT/N/YEM/348")</f>
        <v xml:space="preserve"> G/TBT/N/ARE/697, G/TBT/N/BHR/775, G/TBT/N/KWT/759, G/TBT/N/OMN/598, G/TBT/N/QAT/749, G/TBT/N/SAU/1432, G/TBT/N/YEM/348</v>
      </c>
      <c r="D360" s="8" t="s">
        <v>1800</v>
      </c>
      <c r="E360" s="8" t="s">
        <v>1801</v>
      </c>
      <c r="F360" s="8" t="s">
        <v>1802</v>
      </c>
      <c r="G360" s="8" t="s">
        <v>43</v>
      </c>
      <c r="H360" s="8" t="s">
        <v>1803</v>
      </c>
      <c r="I360" s="8" t="s">
        <v>52</v>
      </c>
      <c r="J360" s="8" t="s">
        <v>1804</v>
      </c>
      <c r="K360" s="8" t="s">
        <v>240</v>
      </c>
      <c r="L360" s="6"/>
      <c r="M360" s="7">
        <v>46138</v>
      </c>
      <c r="N360" s="7" t="s">
        <v>79</v>
      </c>
      <c r="O360" s="7" t="s">
        <v>114</v>
      </c>
      <c r="P360" s="6" t="s">
        <v>62</v>
      </c>
      <c r="Q360" s="8" t="s">
        <v>1805</v>
      </c>
      <c r="R360" t="str">
        <f>HYPERLINK("https://docs.wto.org/imrd/directdoc.asp?DDFDocuments/t/G/TBTN26/ARE697.docx", "https://docs.wto.org/imrd/directdoc.asp?DDFDocuments/t/G/TBTN26/ARE697.docx")</f>
        <v>https://docs.wto.org/imrd/directdoc.asp?DDFDocuments/t/G/TBTN26/ARE697.docx</v>
      </c>
      <c r="S360" t="str">
        <f>HYPERLINK("https://docs.wto.org/imrd/directdoc.asp?DDFDocuments/u/G/TBTN26/ARE697.docx", "https://docs.wto.org/imrd/directdoc.asp?DDFDocuments/u/G/TBTN26/ARE697.docx")</f>
        <v>https://docs.wto.org/imrd/directdoc.asp?DDFDocuments/u/G/TBTN26/ARE697.docx</v>
      </c>
      <c r="T360" t="str">
        <f>HYPERLINK("https://docs.wto.org/imrd/directdoc.asp?DDFDocuments/v/G/TBTN26/ARE697.docx", "https://docs.wto.org/imrd/directdoc.asp?DDFDocuments/v/G/TBTN26/ARE697.docx")</f>
        <v>https://docs.wto.org/imrd/directdoc.asp?DDFDocuments/v/G/TBTN26/ARE697.docx</v>
      </c>
      <c r="U360" t="s">
        <v>64</v>
      </c>
      <c r="V360" t="s">
        <v>46</v>
      </c>
      <c r="W360" t="s">
        <v>46</v>
      </c>
      <c r="X360" t="s">
        <v>46</v>
      </c>
      <c r="Y360" t="s">
        <v>46</v>
      </c>
      <c r="Z360" t="s">
        <v>46</v>
      </c>
      <c r="AA360" t="s">
        <v>46</v>
      </c>
      <c r="AB360" s="2" t="s">
        <v>1806</v>
      </c>
      <c r="AC360" t="s">
        <v>43</v>
      </c>
      <c r="AD360" t="s">
        <v>43</v>
      </c>
      <c r="AE360" t="s">
        <v>43</v>
      </c>
      <c r="AF360" t="s">
        <v>43</v>
      </c>
      <c r="AG360" t="s">
        <v>43</v>
      </c>
      <c r="AH360" s="2" t="s">
        <v>43</v>
      </c>
    </row>
    <row r="361" spans="1:34" ht="30">
      <c r="A361" s="6" t="s">
        <v>1807</v>
      </c>
      <c r="B361" s="7">
        <v>46078</v>
      </c>
      <c r="C361" s="9" t="str">
        <f>HYPERLINK("https://eping.wto.org/en/Search?viewData= G/TBT/N/ARE/697, G/TBT/N/BHR/775, G/TBT/N/KWT/759, G/TBT/N/OMN/598, G/TBT/N/QAT/749, G/TBT/N/SAU/1432, G/TBT/N/YEM/348"," G/TBT/N/ARE/697, G/TBT/N/BHR/775, G/TBT/N/KWT/759, G/TBT/N/OMN/598, G/TBT/N/QAT/749, G/TBT/N/SAU/1432, G/TBT/N/YEM/348")</f>
        <v xml:space="preserve"> G/TBT/N/ARE/697, G/TBT/N/BHR/775, G/TBT/N/KWT/759, G/TBT/N/OMN/598, G/TBT/N/QAT/749, G/TBT/N/SAU/1432, G/TBT/N/YEM/348</v>
      </c>
      <c r="D361" s="8" t="s">
        <v>1800</v>
      </c>
      <c r="E361" s="8" t="s">
        <v>1801</v>
      </c>
      <c r="F361" s="8" t="s">
        <v>1802</v>
      </c>
      <c r="G361" s="8" t="s">
        <v>43</v>
      </c>
      <c r="H361" s="8" t="s">
        <v>1803</v>
      </c>
      <c r="I361" s="8" t="s">
        <v>52</v>
      </c>
      <c r="J361" s="8" t="s">
        <v>1804</v>
      </c>
      <c r="K361" s="8" t="s">
        <v>240</v>
      </c>
      <c r="L361" s="6"/>
      <c r="M361" s="7">
        <v>46138</v>
      </c>
      <c r="N361" s="7" t="s">
        <v>79</v>
      </c>
      <c r="O361" s="7" t="s">
        <v>114</v>
      </c>
      <c r="P361" s="6" t="s">
        <v>62</v>
      </c>
      <c r="Q361" s="8" t="s">
        <v>1805</v>
      </c>
      <c r="R361" t="str">
        <f>HYPERLINK("https://docs.wto.org/imrd/directdoc.asp?DDFDocuments/t/G/TBTN26/ARE697.docx", "https://docs.wto.org/imrd/directdoc.asp?DDFDocuments/t/G/TBTN26/ARE697.docx")</f>
        <v>https://docs.wto.org/imrd/directdoc.asp?DDFDocuments/t/G/TBTN26/ARE697.docx</v>
      </c>
      <c r="S361" t="str">
        <f>HYPERLINK("https://docs.wto.org/imrd/directdoc.asp?DDFDocuments/u/G/TBTN26/ARE697.docx", "https://docs.wto.org/imrd/directdoc.asp?DDFDocuments/u/G/TBTN26/ARE697.docx")</f>
        <v>https://docs.wto.org/imrd/directdoc.asp?DDFDocuments/u/G/TBTN26/ARE697.docx</v>
      </c>
      <c r="T361" t="str">
        <f>HYPERLINK("https://docs.wto.org/imrd/directdoc.asp?DDFDocuments/v/G/TBTN26/ARE697.docx", "https://docs.wto.org/imrd/directdoc.asp?DDFDocuments/v/G/TBTN26/ARE697.docx")</f>
        <v>https://docs.wto.org/imrd/directdoc.asp?DDFDocuments/v/G/TBTN26/ARE697.docx</v>
      </c>
      <c r="U361" t="s">
        <v>64</v>
      </c>
      <c r="V361" t="s">
        <v>46</v>
      </c>
      <c r="W361" t="s">
        <v>46</v>
      </c>
      <c r="X361" t="s">
        <v>46</v>
      </c>
      <c r="Y361" t="s">
        <v>46</v>
      </c>
      <c r="Z361" t="s">
        <v>46</v>
      </c>
      <c r="AA361" t="s">
        <v>46</v>
      </c>
      <c r="AB361" s="2" t="s">
        <v>1806</v>
      </c>
      <c r="AC361" t="s">
        <v>43</v>
      </c>
      <c r="AD361" t="s">
        <v>43</v>
      </c>
      <c r="AE361" t="s">
        <v>43</v>
      </c>
      <c r="AF361" t="s">
        <v>43</v>
      </c>
      <c r="AG361" t="s">
        <v>43</v>
      </c>
      <c r="AH361" s="2" t="s">
        <v>43</v>
      </c>
    </row>
    <row r="362" spans="1:34" ht="60">
      <c r="A362" s="6" t="s">
        <v>1155</v>
      </c>
      <c r="B362" s="7">
        <v>46078</v>
      </c>
      <c r="C362" s="9" t="str">
        <f>HYPERLINK("https://eping.wto.org/en/Search?viewData= G/TBT/N/CZE/256/Add.1"," G/TBT/N/CZE/256/Add.1")</f>
        <v xml:space="preserve"> G/TBT/N/CZE/256/Add.1</v>
      </c>
      <c r="D362" s="8" t="s">
        <v>1808</v>
      </c>
      <c r="E362" s="8" t="s">
        <v>1809</v>
      </c>
      <c r="F362" s="8" t="s">
        <v>1810</v>
      </c>
      <c r="G362" s="8" t="s">
        <v>1811</v>
      </c>
      <c r="H362" s="8" t="s">
        <v>1812</v>
      </c>
      <c r="I362" s="8" t="s">
        <v>191</v>
      </c>
      <c r="J362" s="8" t="s">
        <v>43</v>
      </c>
      <c r="K362" s="8" t="s">
        <v>43</v>
      </c>
      <c r="L362" s="6"/>
      <c r="M362" s="7" t="s">
        <v>43</v>
      </c>
      <c r="N362" s="7"/>
      <c r="O362" s="7"/>
      <c r="P362" s="6" t="s">
        <v>44</v>
      </c>
      <c r="Q362" s="8" t="s">
        <v>1813</v>
      </c>
      <c r="R362" t="str">
        <f>HYPERLINK("https://docs.wto.org/imrd/directdoc.asp?DDFDocuments/t/G/TBTN25/CZE256A1.docx", "https://docs.wto.org/imrd/directdoc.asp?DDFDocuments/t/G/TBTN25/CZE256A1.docx")</f>
        <v>https://docs.wto.org/imrd/directdoc.asp?DDFDocuments/t/G/TBTN25/CZE256A1.docx</v>
      </c>
      <c r="S362" t="str">
        <f>HYPERLINK("https://docs.wto.org/imrd/directdoc.asp?DDFDocuments/u/G/TBTN25/CZE256A1.docx", "https://docs.wto.org/imrd/directdoc.asp?DDFDocuments/u/G/TBTN25/CZE256A1.docx")</f>
        <v>https://docs.wto.org/imrd/directdoc.asp?DDFDocuments/u/G/TBTN25/CZE256A1.docx</v>
      </c>
      <c r="T362" t="str">
        <f>HYPERLINK("https://docs.wto.org/imrd/directdoc.asp?DDFDocuments/v/G/TBTN25/CZE256A1.docx", "https://docs.wto.org/imrd/directdoc.asp?DDFDocuments/v/G/TBTN25/CZE256A1.docx")</f>
        <v>https://docs.wto.org/imrd/directdoc.asp?DDFDocuments/v/G/TBTN25/CZE256A1.docx</v>
      </c>
      <c r="U362" t="s">
        <v>46</v>
      </c>
      <c r="V362" t="s">
        <v>46</v>
      </c>
      <c r="W362" t="s">
        <v>46</v>
      </c>
      <c r="X362" t="s">
        <v>46</v>
      </c>
      <c r="Y362" t="s">
        <v>46</v>
      </c>
      <c r="Z362" t="s">
        <v>46</v>
      </c>
      <c r="AA362" t="s">
        <v>46</v>
      </c>
      <c r="AB362" s="2" t="s">
        <v>43</v>
      </c>
      <c r="AC362" t="s">
        <v>43</v>
      </c>
      <c r="AD362" t="s">
        <v>43</v>
      </c>
      <c r="AE362" t="s">
        <v>43</v>
      </c>
      <c r="AF362" t="s">
        <v>43</v>
      </c>
      <c r="AG362" t="s">
        <v>43</v>
      </c>
      <c r="AH362" s="2" t="s">
        <v>43</v>
      </c>
    </row>
    <row r="363" spans="1:34" ht="105">
      <c r="A363" s="6" t="s">
        <v>1814</v>
      </c>
      <c r="B363" s="7">
        <v>46078</v>
      </c>
      <c r="C363" s="9" t="str">
        <f>HYPERLINK("https://eping.wto.org/en/Search?viewData= G/SPS/N/GBR/122"," G/SPS/N/GBR/122")</f>
        <v xml:space="preserve"> G/SPS/N/GBR/122</v>
      </c>
      <c r="D363" s="8" t="s">
        <v>1815</v>
      </c>
      <c r="E363" s="8" t="s">
        <v>1816</v>
      </c>
      <c r="F363" s="8" t="s">
        <v>1817</v>
      </c>
      <c r="G363" s="8" t="s">
        <v>43</v>
      </c>
      <c r="H363" s="8" t="s">
        <v>43</v>
      </c>
      <c r="I363" s="8" t="s">
        <v>1818</v>
      </c>
      <c r="J363" s="8"/>
      <c r="K363" s="8" t="s">
        <v>121</v>
      </c>
      <c r="L363" s="6" t="s">
        <v>1819</v>
      </c>
      <c r="M363" s="7">
        <v>46138</v>
      </c>
      <c r="N363" s="7">
        <v>46140</v>
      </c>
      <c r="O363" s="7">
        <v>46161</v>
      </c>
      <c r="P363" s="6" t="s">
        <v>62</v>
      </c>
      <c r="Q363" s="8" t="s">
        <v>1820</v>
      </c>
      <c r="R363" t="str">
        <f>HYPERLINK("https://docs.wto.org/imrd/directdoc.asp?DDFDocuments/t/G/SPS/NGBR122.docx", "https://docs.wto.org/imrd/directdoc.asp?DDFDocuments/t/G/SPS/NGBR122.docx")</f>
        <v>https://docs.wto.org/imrd/directdoc.asp?DDFDocuments/t/G/SPS/NGBR122.docx</v>
      </c>
      <c r="S363" t="str">
        <f>HYPERLINK("https://docs.wto.org/imrd/directdoc.asp?DDFDocuments/u/G/SPS/NGBR122.docx", "https://docs.wto.org/imrd/directdoc.asp?DDFDocuments/u/G/SPS/NGBR122.docx")</f>
        <v>https://docs.wto.org/imrd/directdoc.asp?DDFDocuments/u/G/SPS/NGBR122.docx</v>
      </c>
      <c r="T363" t="str">
        <f>HYPERLINK("https://docs.wto.org/imrd/directdoc.asp?DDFDocuments/v/G/SPS/NGBR122.docx", "https://docs.wto.org/imrd/directdoc.asp?DDFDocuments/v/G/SPS/NGBR122.docx")</f>
        <v>https://docs.wto.org/imrd/directdoc.asp?DDFDocuments/v/G/SPS/NGBR122.docx</v>
      </c>
      <c r="U363" t="s">
        <v>43</v>
      </c>
      <c r="V363" t="s">
        <v>43</v>
      </c>
      <c r="W363" t="s">
        <v>43</v>
      </c>
      <c r="X363" t="s">
        <v>43</v>
      </c>
      <c r="Y363" t="s">
        <v>43</v>
      </c>
      <c r="Z363" t="s">
        <v>43</v>
      </c>
      <c r="AA363" t="s">
        <v>43</v>
      </c>
      <c r="AB363" s="2" t="s">
        <v>43</v>
      </c>
      <c r="AC363" t="s">
        <v>46</v>
      </c>
      <c r="AD363" t="s">
        <v>46</v>
      </c>
      <c r="AE363" t="s">
        <v>64</v>
      </c>
      <c r="AF363" t="s">
        <v>46</v>
      </c>
      <c r="AG363" t="s">
        <v>64</v>
      </c>
    </row>
    <row r="364" spans="1:34" ht="255">
      <c r="A364" s="6" t="s">
        <v>132</v>
      </c>
      <c r="B364" s="7">
        <v>46078</v>
      </c>
      <c r="C364" s="9" t="str">
        <f>HYPERLINK("https://eping.wto.org/en/Search?viewData= G/TBT/N/USA/1837/Rev.2/Add.1"," G/TBT/N/USA/1837/Rev.2/Add.1")</f>
        <v xml:space="preserve"> G/TBT/N/USA/1837/Rev.2/Add.1</v>
      </c>
      <c r="D364" s="8" t="s">
        <v>1821</v>
      </c>
      <c r="E364" s="8" t="s">
        <v>1822</v>
      </c>
      <c r="F364" s="8" t="s">
        <v>1823</v>
      </c>
      <c r="G364" s="8" t="s">
        <v>1824</v>
      </c>
      <c r="H364" s="8" t="s">
        <v>1825</v>
      </c>
      <c r="I364" s="8" t="s">
        <v>1826</v>
      </c>
      <c r="J364" s="8" t="s">
        <v>43</v>
      </c>
      <c r="K364" s="8" t="s">
        <v>43</v>
      </c>
      <c r="L364" s="6"/>
      <c r="M364" s="7" t="s">
        <v>43</v>
      </c>
      <c r="N364" s="7"/>
      <c r="O364" s="7"/>
      <c r="P364" s="6" t="s">
        <v>44</v>
      </c>
      <c r="Q364" s="8" t="s">
        <v>1827</v>
      </c>
      <c r="R364" t="str">
        <f>HYPERLINK("https://docs.wto.org/imrd/directdoc.asp?DDFDocuments/t/G/TBTN22/USA1837R2A1.docx", "https://docs.wto.org/imrd/directdoc.asp?DDFDocuments/t/G/TBTN22/USA1837R2A1.docx")</f>
        <v>https://docs.wto.org/imrd/directdoc.asp?DDFDocuments/t/G/TBTN22/USA1837R2A1.docx</v>
      </c>
      <c r="S364" t="str">
        <f>HYPERLINK("https://docs.wto.org/imrd/directdoc.asp?DDFDocuments/u/G/TBTN22/USA1837R2A1.docx", "https://docs.wto.org/imrd/directdoc.asp?DDFDocuments/u/G/TBTN22/USA1837R2A1.docx")</f>
        <v>https://docs.wto.org/imrd/directdoc.asp?DDFDocuments/u/G/TBTN22/USA1837R2A1.docx</v>
      </c>
      <c r="T364" t="str">
        <f>HYPERLINK("https://docs.wto.org/imrd/directdoc.asp?DDFDocuments/v/G/TBTN22/USA1837R2A1.docx", "https://docs.wto.org/imrd/directdoc.asp?DDFDocuments/v/G/TBTN22/USA1837R2A1.docx")</f>
        <v>https://docs.wto.org/imrd/directdoc.asp?DDFDocuments/v/G/TBTN22/USA1837R2A1.docx</v>
      </c>
      <c r="U364" t="s">
        <v>46</v>
      </c>
      <c r="V364" t="s">
        <v>46</v>
      </c>
      <c r="W364" t="s">
        <v>46</v>
      </c>
      <c r="X364" t="s">
        <v>46</v>
      </c>
      <c r="Y364" t="s">
        <v>46</v>
      </c>
      <c r="Z364" t="s">
        <v>46</v>
      </c>
      <c r="AA364" t="s">
        <v>46</v>
      </c>
      <c r="AB364" s="2" t="s">
        <v>43</v>
      </c>
      <c r="AC364" t="s">
        <v>43</v>
      </c>
      <c r="AD364" t="s">
        <v>43</v>
      </c>
      <c r="AE364" t="s">
        <v>43</v>
      </c>
      <c r="AF364" t="s">
        <v>43</v>
      </c>
      <c r="AG364" t="s">
        <v>43</v>
      </c>
      <c r="AH364" s="2" t="s">
        <v>43</v>
      </c>
    </row>
    <row r="365" spans="1:34" ht="120">
      <c r="A365" s="6" t="s">
        <v>325</v>
      </c>
      <c r="B365" s="7">
        <v>46078</v>
      </c>
      <c r="C365" s="9" t="str">
        <f>HYPERLINK("https://eping.wto.org/en/Search?viewData= G/TBT/N/TPKM/587"," G/TBT/N/TPKM/587")</f>
        <v xml:space="preserve"> G/TBT/N/TPKM/587</v>
      </c>
      <c r="D365" s="8" t="s">
        <v>1828</v>
      </c>
      <c r="E365" s="8" t="s">
        <v>1829</v>
      </c>
      <c r="F365" s="8" t="s">
        <v>1830</v>
      </c>
      <c r="G365" s="8" t="s">
        <v>1831</v>
      </c>
      <c r="H365" s="8" t="s">
        <v>1129</v>
      </c>
      <c r="I365" s="8" t="s">
        <v>191</v>
      </c>
      <c r="J365" s="8" t="s">
        <v>43</v>
      </c>
      <c r="K365" s="8" t="s">
        <v>43</v>
      </c>
      <c r="L365" s="6"/>
      <c r="M365" s="7">
        <v>46138</v>
      </c>
      <c r="N365" s="7">
        <v>46204</v>
      </c>
      <c r="O365" s="7">
        <v>46204</v>
      </c>
      <c r="P365" s="6" t="s">
        <v>62</v>
      </c>
      <c r="Q365" s="8" t="s">
        <v>1832</v>
      </c>
      <c r="R365" t="str">
        <f>HYPERLINK("https://docs.wto.org/imrd/directdoc.asp?DDFDocuments/t/G/TBTN26/TPKM587.docx", "https://docs.wto.org/imrd/directdoc.asp?DDFDocuments/t/G/TBTN26/TPKM587.docx")</f>
        <v>https://docs.wto.org/imrd/directdoc.asp?DDFDocuments/t/G/TBTN26/TPKM587.docx</v>
      </c>
      <c r="S365" t="str">
        <f>HYPERLINK("https://docs.wto.org/imrd/directdoc.asp?DDFDocuments/u/G/TBTN26/TPKM587.docx", "https://docs.wto.org/imrd/directdoc.asp?DDFDocuments/u/G/TBTN26/TPKM587.docx")</f>
        <v>https://docs.wto.org/imrd/directdoc.asp?DDFDocuments/u/G/TBTN26/TPKM587.docx</v>
      </c>
      <c r="T365" t="str">
        <f>HYPERLINK("https://docs.wto.org/imrd/directdoc.asp?DDFDocuments/v/G/TBTN26/TPKM587.docx", "https://docs.wto.org/imrd/directdoc.asp?DDFDocuments/v/G/TBTN26/TPKM587.docx")</f>
        <v>https://docs.wto.org/imrd/directdoc.asp?DDFDocuments/v/G/TBTN26/TPKM587.docx</v>
      </c>
      <c r="U365" t="s">
        <v>64</v>
      </c>
      <c r="V365" t="s">
        <v>46</v>
      </c>
      <c r="W365" t="s">
        <v>64</v>
      </c>
      <c r="X365" t="s">
        <v>46</v>
      </c>
      <c r="Y365" t="s">
        <v>46</v>
      </c>
      <c r="Z365" t="s">
        <v>46</v>
      </c>
      <c r="AA365" t="s">
        <v>46</v>
      </c>
      <c r="AB365" s="2" t="s">
        <v>1833</v>
      </c>
      <c r="AC365" t="s">
        <v>43</v>
      </c>
      <c r="AD365" t="s">
        <v>43</v>
      </c>
      <c r="AE365" t="s">
        <v>43</v>
      </c>
      <c r="AF365" t="s">
        <v>43</v>
      </c>
      <c r="AG365" t="s">
        <v>43</v>
      </c>
      <c r="AH365" s="2" t="s">
        <v>43</v>
      </c>
    </row>
    <row r="366" spans="1:34" ht="30">
      <c r="A366" s="6" t="s">
        <v>1834</v>
      </c>
      <c r="B366" s="7">
        <v>46078</v>
      </c>
      <c r="C366" s="9" t="str">
        <f>HYPERLINK("https://eping.wto.org/en/Search?viewData= G/TBT/N/ARE/697, G/TBT/N/BHR/775, G/TBT/N/KWT/759, G/TBT/N/OMN/598, G/TBT/N/QAT/749, G/TBT/N/SAU/1432, G/TBT/N/YEM/348"," G/TBT/N/ARE/697, G/TBT/N/BHR/775, G/TBT/N/KWT/759, G/TBT/N/OMN/598, G/TBT/N/QAT/749, G/TBT/N/SAU/1432, G/TBT/N/YEM/348")</f>
        <v xml:space="preserve"> G/TBT/N/ARE/697, G/TBT/N/BHR/775, G/TBT/N/KWT/759, G/TBT/N/OMN/598, G/TBT/N/QAT/749, G/TBT/N/SAU/1432, G/TBT/N/YEM/348</v>
      </c>
      <c r="D366" s="8" t="s">
        <v>1800</v>
      </c>
      <c r="E366" s="8" t="s">
        <v>1801</v>
      </c>
      <c r="F366" s="8" t="s">
        <v>1802</v>
      </c>
      <c r="G366" s="8" t="s">
        <v>43</v>
      </c>
      <c r="H366" s="8" t="s">
        <v>1803</v>
      </c>
      <c r="I366" s="8" t="s">
        <v>52</v>
      </c>
      <c r="J366" s="8" t="s">
        <v>1804</v>
      </c>
      <c r="K366" s="8" t="s">
        <v>240</v>
      </c>
      <c r="L366" s="6"/>
      <c r="M366" s="7">
        <v>46138</v>
      </c>
      <c r="N366" s="7" t="s">
        <v>79</v>
      </c>
      <c r="O366" s="7" t="s">
        <v>114</v>
      </c>
      <c r="P366" s="6" t="s">
        <v>62</v>
      </c>
      <c r="Q366" s="8" t="s">
        <v>1805</v>
      </c>
      <c r="R366" t="str">
        <f>HYPERLINK("https://docs.wto.org/imrd/directdoc.asp?DDFDocuments/t/G/TBTN26/ARE697.docx", "https://docs.wto.org/imrd/directdoc.asp?DDFDocuments/t/G/TBTN26/ARE697.docx")</f>
        <v>https://docs.wto.org/imrd/directdoc.asp?DDFDocuments/t/G/TBTN26/ARE697.docx</v>
      </c>
      <c r="S366" t="str">
        <f>HYPERLINK("https://docs.wto.org/imrd/directdoc.asp?DDFDocuments/u/G/TBTN26/ARE697.docx", "https://docs.wto.org/imrd/directdoc.asp?DDFDocuments/u/G/TBTN26/ARE697.docx")</f>
        <v>https://docs.wto.org/imrd/directdoc.asp?DDFDocuments/u/G/TBTN26/ARE697.docx</v>
      </c>
      <c r="T366" t="str">
        <f>HYPERLINK("https://docs.wto.org/imrd/directdoc.asp?DDFDocuments/v/G/TBTN26/ARE697.docx", "https://docs.wto.org/imrd/directdoc.asp?DDFDocuments/v/G/TBTN26/ARE697.docx")</f>
        <v>https://docs.wto.org/imrd/directdoc.asp?DDFDocuments/v/G/TBTN26/ARE697.docx</v>
      </c>
      <c r="U366" t="s">
        <v>64</v>
      </c>
      <c r="V366" t="s">
        <v>46</v>
      </c>
      <c r="W366" t="s">
        <v>46</v>
      </c>
      <c r="X366" t="s">
        <v>46</v>
      </c>
      <c r="Y366" t="s">
        <v>46</v>
      </c>
      <c r="Z366" t="s">
        <v>46</v>
      </c>
      <c r="AA366" t="s">
        <v>46</v>
      </c>
      <c r="AB366" s="2" t="s">
        <v>1806</v>
      </c>
      <c r="AC366" t="s">
        <v>43</v>
      </c>
      <c r="AD366" t="s">
        <v>43</v>
      </c>
      <c r="AE366" t="s">
        <v>43</v>
      </c>
      <c r="AF366" t="s">
        <v>43</v>
      </c>
      <c r="AG366" t="s">
        <v>43</v>
      </c>
      <c r="AH366" s="2" t="s">
        <v>43</v>
      </c>
    </row>
    <row r="367" spans="1:34" ht="300">
      <c r="A367" s="6" t="s">
        <v>124</v>
      </c>
      <c r="B367" s="7">
        <v>46078</v>
      </c>
      <c r="C367" s="9" t="str">
        <f>HYPERLINK("https://eping.wto.org/en/Search?viewData= G/TBT/N/KEN/1990"," G/TBT/N/KEN/1990")</f>
        <v xml:space="preserve"> G/TBT/N/KEN/1990</v>
      </c>
      <c r="D367" s="8" t="s">
        <v>1835</v>
      </c>
      <c r="E367" s="8" t="s">
        <v>1836</v>
      </c>
      <c r="F367" s="8" t="s">
        <v>1837</v>
      </c>
      <c r="G367" s="8" t="s">
        <v>43</v>
      </c>
      <c r="H367" s="8" t="s">
        <v>1838</v>
      </c>
      <c r="I367" s="8" t="s">
        <v>472</v>
      </c>
      <c r="J367" s="8" t="s">
        <v>43</v>
      </c>
      <c r="K367" s="8" t="s">
        <v>350</v>
      </c>
      <c r="L367" s="6"/>
      <c r="M367" s="7">
        <v>46138</v>
      </c>
      <c r="N367" s="7">
        <v>46203</v>
      </c>
      <c r="O367" s="7" t="s">
        <v>79</v>
      </c>
      <c r="P367" s="6" t="s">
        <v>62</v>
      </c>
      <c r="Q367" s="8" t="s">
        <v>1839</v>
      </c>
      <c r="R367" t="str">
        <f>HYPERLINK("https://docs.wto.org/imrd/directdoc.asp?DDFDocuments/t/G/TBTN26/KEN1990.docx", "https://docs.wto.org/imrd/directdoc.asp?DDFDocuments/t/G/TBTN26/KEN1990.docx")</f>
        <v>https://docs.wto.org/imrd/directdoc.asp?DDFDocuments/t/G/TBTN26/KEN1990.docx</v>
      </c>
      <c r="S367" t="str">
        <f>HYPERLINK("https://docs.wto.org/imrd/directdoc.asp?DDFDocuments/u/G/TBTN26/KEN1990.docx", "https://docs.wto.org/imrd/directdoc.asp?DDFDocuments/u/G/TBTN26/KEN1990.docx")</f>
        <v>https://docs.wto.org/imrd/directdoc.asp?DDFDocuments/u/G/TBTN26/KEN1990.docx</v>
      </c>
      <c r="T367" t="str">
        <f>HYPERLINK("https://docs.wto.org/imrd/directdoc.asp?DDFDocuments/v/G/TBTN26/KEN1990.docx", "https://docs.wto.org/imrd/directdoc.asp?DDFDocuments/v/G/TBTN26/KEN1990.docx")</f>
        <v>https://docs.wto.org/imrd/directdoc.asp?DDFDocuments/v/G/TBTN26/KEN1990.docx</v>
      </c>
      <c r="U367" t="s">
        <v>64</v>
      </c>
      <c r="V367" t="s">
        <v>46</v>
      </c>
      <c r="W367" t="s">
        <v>46</v>
      </c>
      <c r="X367" t="s">
        <v>46</v>
      </c>
      <c r="Y367" t="s">
        <v>46</v>
      </c>
      <c r="Z367" t="s">
        <v>46</v>
      </c>
      <c r="AA367" t="s">
        <v>46</v>
      </c>
      <c r="AB367" s="2" t="s">
        <v>1840</v>
      </c>
      <c r="AC367" t="s">
        <v>43</v>
      </c>
      <c r="AD367" t="s">
        <v>43</v>
      </c>
      <c r="AE367" t="s">
        <v>43</v>
      </c>
      <c r="AF367" t="s">
        <v>43</v>
      </c>
      <c r="AG367" t="s">
        <v>43</v>
      </c>
      <c r="AH367" s="2" t="s">
        <v>43</v>
      </c>
    </row>
    <row r="368" spans="1:34" ht="75">
      <c r="A368" s="6" t="s">
        <v>158</v>
      </c>
      <c r="B368" s="7">
        <v>46078</v>
      </c>
      <c r="C368" s="9" t="str">
        <f>HYPERLINK("https://eping.wto.org/en/Search?viewData= G/TBT/N/UKR/366/Add.1"," G/TBT/N/UKR/366/Add.1")</f>
        <v xml:space="preserve"> G/TBT/N/UKR/366/Add.1</v>
      </c>
      <c r="D368" s="8" t="s">
        <v>1841</v>
      </c>
      <c r="E368" s="8" t="s">
        <v>1842</v>
      </c>
      <c r="F368" s="8" t="s">
        <v>1843</v>
      </c>
      <c r="G368" s="8" t="s">
        <v>43</v>
      </c>
      <c r="H368" s="8" t="s">
        <v>1844</v>
      </c>
      <c r="I368" s="8" t="s">
        <v>275</v>
      </c>
      <c r="J368" s="8" t="s">
        <v>43</v>
      </c>
      <c r="K368" s="8" t="s">
        <v>860</v>
      </c>
      <c r="L368" s="6"/>
      <c r="M368" s="7" t="s">
        <v>43</v>
      </c>
      <c r="N368" s="7"/>
      <c r="O368" s="7"/>
      <c r="P368" s="6" t="s">
        <v>44</v>
      </c>
      <c r="Q368" s="8" t="s">
        <v>1845</v>
      </c>
      <c r="R368" t="str">
        <f>HYPERLINK("https://docs.wto.org/imrd/directdoc.asp?DDFDocuments/t/G/TBTN26/UKR366A1.docx", "https://docs.wto.org/imrd/directdoc.asp?DDFDocuments/t/G/TBTN26/UKR366A1.docx")</f>
        <v>https://docs.wto.org/imrd/directdoc.asp?DDFDocuments/t/G/TBTN26/UKR366A1.docx</v>
      </c>
      <c r="S368" t="str">
        <f>HYPERLINK("https://docs.wto.org/imrd/directdoc.asp?DDFDocuments/u/G/TBTN26/UKR366A1.docx", "https://docs.wto.org/imrd/directdoc.asp?DDFDocuments/u/G/TBTN26/UKR366A1.docx")</f>
        <v>https://docs.wto.org/imrd/directdoc.asp?DDFDocuments/u/G/TBTN26/UKR366A1.docx</v>
      </c>
      <c r="T368" t="str">
        <f>HYPERLINK("https://docs.wto.org/imrd/directdoc.asp?DDFDocuments/v/G/TBTN26/UKR366A1.docx", "https://docs.wto.org/imrd/directdoc.asp?DDFDocuments/v/G/TBTN26/UKR366A1.docx")</f>
        <v>https://docs.wto.org/imrd/directdoc.asp?DDFDocuments/v/G/TBTN26/UKR366A1.docx</v>
      </c>
      <c r="U368" t="s">
        <v>46</v>
      </c>
      <c r="V368" t="s">
        <v>46</v>
      </c>
      <c r="W368" t="s">
        <v>46</v>
      </c>
      <c r="X368" t="s">
        <v>46</v>
      </c>
      <c r="Y368" t="s">
        <v>46</v>
      </c>
      <c r="Z368" t="s">
        <v>46</v>
      </c>
      <c r="AA368" t="s">
        <v>46</v>
      </c>
      <c r="AB368" s="2" t="s">
        <v>43</v>
      </c>
      <c r="AC368" t="s">
        <v>43</v>
      </c>
      <c r="AD368" t="s">
        <v>43</v>
      </c>
      <c r="AE368" t="s">
        <v>43</v>
      </c>
      <c r="AF368" t="s">
        <v>43</v>
      </c>
      <c r="AG368" t="s">
        <v>43</v>
      </c>
      <c r="AH368" s="2" t="s">
        <v>43</v>
      </c>
    </row>
    <row r="369" spans="1:34" ht="240">
      <c r="A369" s="6" t="s">
        <v>132</v>
      </c>
      <c r="B369" s="7">
        <v>46078</v>
      </c>
      <c r="C369" s="9" t="str">
        <f>HYPERLINK("https://eping.wto.org/en/Search?viewData= G/TBT/N/USA/2081/Rev.1/Add.1"," G/TBT/N/USA/2081/Rev.1/Add.1")</f>
        <v xml:space="preserve"> G/TBT/N/USA/2081/Rev.1/Add.1</v>
      </c>
      <c r="D369" s="8" t="s">
        <v>1846</v>
      </c>
      <c r="E369" s="8" t="s">
        <v>1847</v>
      </c>
      <c r="F369" s="8" t="s">
        <v>1848</v>
      </c>
      <c r="G369" s="8" t="s">
        <v>43</v>
      </c>
      <c r="H369" s="8" t="s">
        <v>1849</v>
      </c>
      <c r="I369" s="8" t="s">
        <v>1850</v>
      </c>
      <c r="J369" s="8" t="s">
        <v>43</v>
      </c>
      <c r="K369" s="8" t="s">
        <v>43</v>
      </c>
      <c r="L369" s="6"/>
      <c r="M369" s="7">
        <v>46092</v>
      </c>
      <c r="N369" s="7"/>
      <c r="O369" s="7"/>
      <c r="P369" s="6" t="s">
        <v>44</v>
      </c>
      <c r="Q369" s="8" t="s">
        <v>1851</v>
      </c>
      <c r="R369" t="str">
        <f>HYPERLINK("https://docs.wto.org/imrd/directdoc.asp?DDFDocuments/t/G/TBTN24/USA2081R1A1.docx", "https://docs.wto.org/imrd/directdoc.asp?DDFDocuments/t/G/TBTN24/USA2081R1A1.docx")</f>
        <v>https://docs.wto.org/imrd/directdoc.asp?DDFDocuments/t/G/TBTN24/USA2081R1A1.docx</v>
      </c>
      <c r="S369" t="str">
        <f>HYPERLINK("https://docs.wto.org/imrd/directdoc.asp?DDFDocuments/u/G/TBTN24/USA2081R1A1.docx", "https://docs.wto.org/imrd/directdoc.asp?DDFDocuments/u/G/TBTN24/USA2081R1A1.docx")</f>
        <v>https://docs.wto.org/imrd/directdoc.asp?DDFDocuments/u/G/TBTN24/USA2081R1A1.docx</v>
      </c>
      <c r="T369" t="str">
        <f>HYPERLINK("https://docs.wto.org/imrd/directdoc.asp?DDFDocuments/v/G/TBTN24/USA2081R1A1.docx", "https://docs.wto.org/imrd/directdoc.asp?DDFDocuments/v/G/TBTN24/USA2081R1A1.docx")</f>
        <v>https://docs.wto.org/imrd/directdoc.asp?DDFDocuments/v/G/TBTN24/USA2081R1A1.docx</v>
      </c>
      <c r="U369" t="s">
        <v>46</v>
      </c>
      <c r="V369" t="s">
        <v>46</v>
      </c>
      <c r="W369" t="s">
        <v>46</v>
      </c>
      <c r="X369" t="s">
        <v>46</v>
      </c>
      <c r="Y369" t="s">
        <v>46</v>
      </c>
      <c r="Z369" t="s">
        <v>46</v>
      </c>
      <c r="AA369" t="s">
        <v>46</v>
      </c>
      <c r="AB369" s="2" t="s">
        <v>43</v>
      </c>
      <c r="AC369" t="s">
        <v>43</v>
      </c>
      <c r="AD369" t="s">
        <v>43</v>
      </c>
      <c r="AE369" t="s">
        <v>43</v>
      </c>
      <c r="AF369" t="s">
        <v>43</v>
      </c>
      <c r="AG369" t="s">
        <v>43</v>
      </c>
      <c r="AH369" s="2" t="s">
        <v>43</v>
      </c>
    </row>
    <row r="370" spans="1:34" ht="30">
      <c r="A370" s="6" t="s">
        <v>338</v>
      </c>
      <c r="B370" s="7">
        <v>46078</v>
      </c>
      <c r="C370" s="9" t="str">
        <f>HYPERLINK("https://eping.wto.org/en/Search?viewData= G/TBT/N/ARE/697, G/TBT/N/BHR/775, G/TBT/N/KWT/759, G/TBT/N/OMN/598, G/TBT/N/QAT/749, G/TBT/N/SAU/1432, G/TBT/N/YEM/348"," G/TBT/N/ARE/697, G/TBT/N/BHR/775, G/TBT/N/KWT/759, G/TBT/N/OMN/598, G/TBT/N/QAT/749, G/TBT/N/SAU/1432, G/TBT/N/YEM/348")</f>
        <v xml:space="preserve"> G/TBT/N/ARE/697, G/TBT/N/BHR/775, G/TBT/N/KWT/759, G/TBT/N/OMN/598, G/TBT/N/QAT/749, G/TBT/N/SAU/1432, G/TBT/N/YEM/348</v>
      </c>
      <c r="D370" s="8" t="s">
        <v>1800</v>
      </c>
      <c r="E370" s="8" t="s">
        <v>1801</v>
      </c>
      <c r="F370" s="8" t="s">
        <v>1802</v>
      </c>
      <c r="G370" s="8" t="s">
        <v>43</v>
      </c>
      <c r="H370" s="8" t="s">
        <v>1803</v>
      </c>
      <c r="I370" s="8" t="s">
        <v>52</v>
      </c>
      <c r="J370" s="8" t="s">
        <v>1804</v>
      </c>
      <c r="K370" s="8" t="s">
        <v>240</v>
      </c>
      <c r="L370" s="6"/>
      <c r="M370" s="7">
        <v>46138</v>
      </c>
      <c r="N370" s="7" t="s">
        <v>79</v>
      </c>
      <c r="O370" s="7" t="s">
        <v>114</v>
      </c>
      <c r="P370" s="6" t="s">
        <v>62</v>
      </c>
      <c r="Q370" s="8" t="s">
        <v>1805</v>
      </c>
      <c r="R370" t="str">
        <f>HYPERLINK("https://docs.wto.org/imrd/directdoc.asp?DDFDocuments/t/G/TBTN26/ARE697.docx", "https://docs.wto.org/imrd/directdoc.asp?DDFDocuments/t/G/TBTN26/ARE697.docx")</f>
        <v>https://docs.wto.org/imrd/directdoc.asp?DDFDocuments/t/G/TBTN26/ARE697.docx</v>
      </c>
      <c r="S370" t="str">
        <f>HYPERLINK("https://docs.wto.org/imrd/directdoc.asp?DDFDocuments/u/G/TBTN26/ARE697.docx", "https://docs.wto.org/imrd/directdoc.asp?DDFDocuments/u/G/TBTN26/ARE697.docx")</f>
        <v>https://docs.wto.org/imrd/directdoc.asp?DDFDocuments/u/G/TBTN26/ARE697.docx</v>
      </c>
      <c r="T370" t="str">
        <f>HYPERLINK("https://docs.wto.org/imrd/directdoc.asp?DDFDocuments/v/G/TBTN26/ARE697.docx", "https://docs.wto.org/imrd/directdoc.asp?DDFDocuments/v/G/TBTN26/ARE697.docx")</f>
        <v>https://docs.wto.org/imrd/directdoc.asp?DDFDocuments/v/G/TBTN26/ARE697.docx</v>
      </c>
      <c r="U370" t="s">
        <v>64</v>
      </c>
      <c r="V370" t="s">
        <v>46</v>
      </c>
      <c r="W370" t="s">
        <v>46</v>
      </c>
      <c r="X370" t="s">
        <v>46</v>
      </c>
      <c r="Y370" t="s">
        <v>46</v>
      </c>
      <c r="Z370" t="s">
        <v>46</v>
      </c>
      <c r="AA370" t="s">
        <v>46</v>
      </c>
      <c r="AB370" s="2" t="s">
        <v>1806</v>
      </c>
      <c r="AC370" t="s">
        <v>43</v>
      </c>
      <c r="AD370" t="s">
        <v>43</v>
      </c>
      <c r="AE370" t="s">
        <v>43</v>
      </c>
      <c r="AF370" t="s">
        <v>43</v>
      </c>
      <c r="AG370" t="s">
        <v>43</v>
      </c>
      <c r="AH370" s="2" t="s">
        <v>43</v>
      </c>
    </row>
    <row r="371" spans="1:34" ht="195">
      <c r="A371" s="6" t="s">
        <v>132</v>
      </c>
      <c r="B371" s="7">
        <v>46078</v>
      </c>
      <c r="C371" s="9" t="str">
        <f>HYPERLINK("https://eping.wto.org/en/Search?viewData= G/SPS/N/USA/3557"," G/SPS/N/USA/3557")</f>
        <v xml:space="preserve"> G/SPS/N/USA/3557</v>
      </c>
      <c r="D371" s="8" t="s">
        <v>1852</v>
      </c>
      <c r="E371" s="8" t="s">
        <v>1853</v>
      </c>
      <c r="F371" s="8" t="s">
        <v>1471</v>
      </c>
      <c r="G371" s="8" t="s">
        <v>43</v>
      </c>
      <c r="H371" s="8" t="s">
        <v>43</v>
      </c>
      <c r="I371" s="8" t="s">
        <v>58</v>
      </c>
      <c r="J371" s="8" t="s">
        <v>43</v>
      </c>
      <c r="K371" s="8" t="s">
        <v>310</v>
      </c>
      <c r="L371" s="6"/>
      <c r="M371" s="7">
        <v>46133</v>
      </c>
      <c r="N371" s="7">
        <v>46073</v>
      </c>
      <c r="O371" s="7">
        <v>46073</v>
      </c>
      <c r="P371" s="6" t="s">
        <v>62</v>
      </c>
      <c r="Q371" s="8" t="s">
        <v>1854</v>
      </c>
      <c r="R371" t="str">
        <f>HYPERLINK("https://docs.wto.org/imrd/directdoc.asp?DDFDocuments/t/G/SPS/NUSA3557.docx", "https://docs.wto.org/imrd/directdoc.asp?DDFDocuments/t/G/SPS/NUSA3557.docx")</f>
        <v>https://docs.wto.org/imrd/directdoc.asp?DDFDocuments/t/G/SPS/NUSA3557.docx</v>
      </c>
      <c r="S371" t="str">
        <f>HYPERLINK("https://docs.wto.org/imrd/directdoc.asp?DDFDocuments/u/G/SPS/NUSA3557.docx", "https://docs.wto.org/imrd/directdoc.asp?DDFDocuments/u/G/SPS/NUSA3557.docx")</f>
        <v>https://docs.wto.org/imrd/directdoc.asp?DDFDocuments/u/G/SPS/NUSA3557.docx</v>
      </c>
      <c r="T371" t="str">
        <f>HYPERLINK("https://docs.wto.org/imrd/directdoc.asp?DDFDocuments/v/G/SPS/NUSA3557.docx", "https://docs.wto.org/imrd/directdoc.asp?DDFDocuments/v/G/SPS/NUSA3557.docx")</f>
        <v>https://docs.wto.org/imrd/directdoc.asp?DDFDocuments/v/G/SPS/NUSA3557.docx</v>
      </c>
      <c r="U371" t="s">
        <v>43</v>
      </c>
      <c r="V371" t="s">
        <v>43</v>
      </c>
      <c r="W371" t="s">
        <v>43</v>
      </c>
      <c r="X371" t="s">
        <v>43</v>
      </c>
      <c r="Y371" t="s">
        <v>43</v>
      </c>
      <c r="Z371" t="s">
        <v>43</v>
      </c>
      <c r="AA371" t="s">
        <v>43</v>
      </c>
      <c r="AB371" s="2" t="s">
        <v>43</v>
      </c>
      <c r="AC371" t="s">
        <v>46</v>
      </c>
      <c r="AD371" t="s">
        <v>46</v>
      </c>
      <c r="AE371" t="s">
        <v>46</v>
      </c>
      <c r="AF371" t="s">
        <v>64</v>
      </c>
      <c r="AG371" t="s">
        <v>99</v>
      </c>
      <c r="AH371" s="2" t="s">
        <v>1855</v>
      </c>
    </row>
    <row r="372" spans="1:34" ht="30">
      <c r="A372" s="6" t="s">
        <v>1856</v>
      </c>
      <c r="B372" s="7">
        <v>46078</v>
      </c>
      <c r="C372" s="9" t="str">
        <f>HYPERLINK("https://eping.wto.org/en/Search?viewData= G/TBT/N/ARE/697, G/TBT/N/BHR/775, G/TBT/N/KWT/759, G/TBT/N/OMN/598, G/TBT/N/QAT/749, G/TBT/N/SAU/1432, G/TBT/N/YEM/348"," G/TBT/N/ARE/697, G/TBT/N/BHR/775, G/TBT/N/KWT/759, G/TBT/N/OMN/598, G/TBT/N/QAT/749, G/TBT/N/SAU/1432, G/TBT/N/YEM/348")</f>
        <v xml:space="preserve"> G/TBT/N/ARE/697, G/TBT/N/BHR/775, G/TBT/N/KWT/759, G/TBT/N/OMN/598, G/TBT/N/QAT/749, G/TBT/N/SAU/1432, G/TBT/N/YEM/348</v>
      </c>
      <c r="D372" s="8" t="s">
        <v>1800</v>
      </c>
      <c r="E372" s="8" t="s">
        <v>1801</v>
      </c>
      <c r="F372" s="8" t="s">
        <v>1802</v>
      </c>
      <c r="G372" s="8" t="s">
        <v>43</v>
      </c>
      <c r="H372" s="8" t="s">
        <v>1803</v>
      </c>
      <c r="I372" s="8" t="s">
        <v>52</v>
      </c>
      <c r="J372" s="8" t="s">
        <v>1804</v>
      </c>
      <c r="K372" s="8" t="s">
        <v>240</v>
      </c>
      <c r="L372" s="6"/>
      <c r="M372" s="7">
        <v>46138</v>
      </c>
      <c r="N372" s="7" t="s">
        <v>79</v>
      </c>
      <c r="O372" s="7" t="s">
        <v>114</v>
      </c>
      <c r="P372" s="6" t="s">
        <v>62</v>
      </c>
      <c r="Q372" s="8" t="s">
        <v>1805</v>
      </c>
      <c r="R372" t="str">
        <f>HYPERLINK("https://docs.wto.org/imrd/directdoc.asp?DDFDocuments/t/G/TBTN26/ARE697.docx", "https://docs.wto.org/imrd/directdoc.asp?DDFDocuments/t/G/TBTN26/ARE697.docx")</f>
        <v>https://docs.wto.org/imrd/directdoc.asp?DDFDocuments/t/G/TBTN26/ARE697.docx</v>
      </c>
      <c r="S372" t="str">
        <f>HYPERLINK("https://docs.wto.org/imrd/directdoc.asp?DDFDocuments/u/G/TBTN26/ARE697.docx", "https://docs.wto.org/imrd/directdoc.asp?DDFDocuments/u/G/TBTN26/ARE697.docx")</f>
        <v>https://docs.wto.org/imrd/directdoc.asp?DDFDocuments/u/G/TBTN26/ARE697.docx</v>
      </c>
      <c r="T372" t="str">
        <f>HYPERLINK("https://docs.wto.org/imrd/directdoc.asp?DDFDocuments/v/G/TBTN26/ARE697.docx", "https://docs.wto.org/imrd/directdoc.asp?DDFDocuments/v/G/TBTN26/ARE697.docx")</f>
        <v>https://docs.wto.org/imrd/directdoc.asp?DDFDocuments/v/G/TBTN26/ARE697.docx</v>
      </c>
      <c r="U372" t="s">
        <v>64</v>
      </c>
      <c r="V372" t="s">
        <v>46</v>
      </c>
      <c r="W372" t="s">
        <v>46</v>
      </c>
      <c r="X372" t="s">
        <v>46</v>
      </c>
      <c r="Y372" t="s">
        <v>46</v>
      </c>
      <c r="Z372" t="s">
        <v>46</v>
      </c>
      <c r="AA372" t="s">
        <v>46</v>
      </c>
      <c r="AB372" s="2" t="s">
        <v>1806</v>
      </c>
      <c r="AC372" t="s">
        <v>43</v>
      </c>
      <c r="AD372" t="s">
        <v>43</v>
      </c>
      <c r="AE372" t="s">
        <v>43</v>
      </c>
      <c r="AF372" t="s">
        <v>43</v>
      </c>
      <c r="AG372" t="s">
        <v>43</v>
      </c>
      <c r="AH372" s="2" t="s">
        <v>43</v>
      </c>
    </row>
    <row r="373" spans="1:34" ht="90">
      <c r="A373" s="6" t="s">
        <v>124</v>
      </c>
      <c r="B373" s="7">
        <v>46078</v>
      </c>
      <c r="C373" s="9" t="str">
        <f>HYPERLINK("https://eping.wto.org/en/Search?viewData= G/TBT/N/KEN/1989"," G/TBT/N/KEN/1989")</f>
        <v xml:space="preserve"> G/TBT/N/KEN/1989</v>
      </c>
      <c r="D373" s="8" t="s">
        <v>1857</v>
      </c>
      <c r="E373" s="8" t="s">
        <v>1858</v>
      </c>
      <c r="F373" s="8" t="s">
        <v>1859</v>
      </c>
      <c r="G373" s="8" t="s">
        <v>43</v>
      </c>
      <c r="H373" s="8" t="s">
        <v>1860</v>
      </c>
      <c r="I373" s="8" t="s">
        <v>1861</v>
      </c>
      <c r="J373" s="8" t="s">
        <v>1862</v>
      </c>
      <c r="K373" s="8" t="s">
        <v>43</v>
      </c>
      <c r="L373" s="6"/>
      <c r="M373" s="7" t="s">
        <v>43</v>
      </c>
      <c r="N373" s="7">
        <v>46072</v>
      </c>
      <c r="O373" s="7">
        <v>46072</v>
      </c>
      <c r="P373" s="6" t="s">
        <v>62</v>
      </c>
      <c r="Q373" s="8" t="s">
        <v>1863</v>
      </c>
      <c r="R373" t="str">
        <f>HYPERLINK("https://docs.wto.org/imrd/directdoc.asp?DDFDocuments/t/G/TBTN26/KEN1989.docx", "https://docs.wto.org/imrd/directdoc.asp?DDFDocuments/t/G/TBTN26/KEN1989.docx")</f>
        <v>https://docs.wto.org/imrd/directdoc.asp?DDFDocuments/t/G/TBTN26/KEN1989.docx</v>
      </c>
      <c r="S373" t="str">
        <f>HYPERLINK("https://docs.wto.org/imrd/directdoc.asp?DDFDocuments/u/G/TBTN26/KEN1989.docx", "https://docs.wto.org/imrd/directdoc.asp?DDFDocuments/u/G/TBTN26/KEN1989.docx")</f>
        <v>https://docs.wto.org/imrd/directdoc.asp?DDFDocuments/u/G/TBTN26/KEN1989.docx</v>
      </c>
      <c r="T373" t="str">
        <f>HYPERLINK("https://docs.wto.org/imrd/directdoc.asp?DDFDocuments/v/G/TBTN26/KEN1989.docx", "https://docs.wto.org/imrd/directdoc.asp?DDFDocuments/v/G/TBTN26/KEN1989.docx")</f>
        <v>https://docs.wto.org/imrd/directdoc.asp?DDFDocuments/v/G/TBTN26/KEN1989.docx</v>
      </c>
      <c r="U373" t="s">
        <v>46</v>
      </c>
      <c r="V373" t="s">
        <v>46</v>
      </c>
      <c r="W373" t="s">
        <v>46</v>
      </c>
      <c r="X373" t="s">
        <v>64</v>
      </c>
      <c r="Y373" t="s">
        <v>46</v>
      </c>
      <c r="Z373" t="s">
        <v>46</v>
      </c>
      <c r="AA373" t="s">
        <v>46</v>
      </c>
      <c r="AB373" s="2" t="s">
        <v>1864</v>
      </c>
      <c r="AC373" t="s">
        <v>43</v>
      </c>
      <c r="AD373" t="s">
        <v>43</v>
      </c>
      <c r="AE373" t="s">
        <v>43</v>
      </c>
      <c r="AF373" t="s">
        <v>43</v>
      </c>
      <c r="AG373" t="s">
        <v>43</v>
      </c>
      <c r="AH373" s="2" t="s">
        <v>43</v>
      </c>
    </row>
    <row r="374" spans="1:34" ht="150">
      <c r="A374" s="6" t="s">
        <v>132</v>
      </c>
      <c r="B374" s="7">
        <v>46078</v>
      </c>
      <c r="C374" s="9" t="str">
        <f>HYPERLINK("https://eping.wto.org/en/Search?viewData= G/SPS/N/USA/2979/Add.3"," G/SPS/N/USA/2979/Add.3")</f>
        <v xml:space="preserve"> G/SPS/N/USA/2979/Add.3</v>
      </c>
      <c r="D374" s="8" t="s">
        <v>1865</v>
      </c>
      <c r="E374" s="8" t="s">
        <v>1866</v>
      </c>
      <c r="F374" s="8" t="s">
        <v>1867</v>
      </c>
      <c r="G374" s="8" t="s">
        <v>1868</v>
      </c>
      <c r="H374" s="8" t="s">
        <v>43</v>
      </c>
      <c r="I374" s="8" t="s">
        <v>58</v>
      </c>
      <c r="J374" s="8" t="s">
        <v>43</v>
      </c>
      <c r="K374" s="8" t="s">
        <v>1869</v>
      </c>
      <c r="L374" s="6"/>
      <c r="M374" s="7">
        <v>46132</v>
      </c>
      <c r="N374" s="7"/>
      <c r="O374" s="7"/>
      <c r="P374" s="6" t="s">
        <v>44</v>
      </c>
      <c r="Q374" s="8" t="s">
        <v>1870</v>
      </c>
      <c r="R374" t="str">
        <f>HYPERLINK("https://docs.wto.org/imrd/directdoc.asp?DDFDocuments/t/G/SPS/NUSA2979A3.docx", "https://docs.wto.org/imrd/directdoc.asp?DDFDocuments/t/G/SPS/NUSA2979A3.docx")</f>
        <v>https://docs.wto.org/imrd/directdoc.asp?DDFDocuments/t/G/SPS/NUSA2979A3.docx</v>
      </c>
      <c r="S374" t="str">
        <f>HYPERLINK("https://docs.wto.org/imrd/directdoc.asp?DDFDocuments/u/G/SPS/NUSA2979A3.docx", "https://docs.wto.org/imrd/directdoc.asp?DDFDocuments/u/G/SPS/NUSA2979A3.docx")</f>
        <v>https://docs.wto.org/imrd/directdoc.asp?DDFDocuments/u/G/SPS/NUSA2979A3.docx</v>
      </c>
      <c r="T374" t="str">
        <f>HYPERLINK("https://docs.wto.org/imrd/directdoc.asp?DDFDocuments/v/G/SPS/NUSA2979A3.docx", "https://docs.wto.org/imrd/directdoc.asp?DDFDocuments/v/G/SPS/NUSA2979A3.docx")</f>
        <v>https://docs.wto.org/imrd/directdoc.asp?DDFDocuments/v/G/SPS/NUSA2979A3.docx</v>
      </c>
      <c r="U374" t="s">
        <v>43</v>
      </c>
      <c r="V374" t="s">
        <v>43</v>
      </c>
      <c r="W374" t="s">
        <v>43</v>
      </c>
      <c r="X374" t="s">
        <v>43</v>
      </c>
      <c r="Y374" t="s">
        <v>43</v>
      </c>
      <c r="Z374" t="s">
        <v>43</v>
      </c>
      <c r="AA374" t="s">
        <v>43</v>
      </c>
      <c r="AB374" s="2" t="s">
        <v>43</v>
      </c>
      <c r="AC374" t="s">
        <v>43</v>
      </c>
      <c r="AD374" t="s">
        <v>43</v>
      </c>
      <c r="AE374" t="s">
        <v>43</v>
      </c>
      <c r="AF374" t="s">
        <v>43</v>
      </c>
      <c r="AG374" t="s">
        <v>43</v>
      </c>
      <c r="AH374" s="2" t="s">
        <v>43</v>
      </c>
    </row>
    <row r="375" spans="1:34" ht="75">
      <c r="A375" s="6" t="s">
        <v>146</v>
      </c>
      <c r="B375" s="7">
        <v>46078</v>
      </c>
      <c r="C375" s="9" t="str">
        <f>HYPERLINK("https://eping.wto.org/en/Search?viewData= G/TBT/N/CHL/787"," G/TBT/N/CHL/787")</f>
        <v xml:space="preserve"> G/TBT/N/CHL/787</v>
      </c>
      <c r="D375" s="8" t="s">
        <v>1871</v>
      </c>
      <c r="E375" s="8" t="s">
        <v>1872</v>
      </c>
      <c r="F375" s="8" t="s">
        <v>1873</v>
      </c>
      <c r="G375" s="8" t="s">
        <v>1874</v>
      </c>
      <c r="H375" s="8" t="s">
        <v>1292</v>
      </c>
      <c r="I375" s="8" t="s">
        <v>1483</v>
      </c>
      <c r="J375" s="8" t="s">
        <v>43</v>
      </c>
      <c r="K375" s="8" t="s">
        <v>240</v>
      </c>
      <c r="L375" s="6"/>
      <c r="M375" s="7">
        <v>46138</v>
      </c>
      <c r="N375" s="7" t="s">
        <v>877</v>
      </c>
      <c r="O375" s="7" t="s">
        <v>877</v>
      </c>
      <c r="P375" s="6" t="s">
        <v>62</v>
      </c>
      <c r="Q375" s="8" t="s">
        <v>1875</v>
      </c>
      <c r="R375" t="str">
        <f>HYPERLINK("https://docs.wto.org/imrd/directdoc.asp?DDFDocuments/t/G/TBTN26/CHL787.docx", "https://docs.wto.org/imrd/directdoc.asp?DDFDocuments/t/G/TBTN26/CHL787.docx")</f>
        <v>https://docs.wto.org/imrd/directdoc.asp?DDFDocuments/t/G/TBTN26/CHL787.docx</v>
      </c>
      <c r="S375" t="str">
        <f>HYPERLINK("https://docs.wto.org/imrd/directdoc.asp?DDFDocuments/u/G/TBTN26/CHL787.docx", "https://docs.wto.org/imrd/directdoc.asp?DDFDocuments/u/G/TBTN26/CHL787.docx")</f>
        <v>https://docs.wto.org/imrd/directdoc.asp?DDFDocuments/u/G/TBTN26/CHL787.docx</v>
      </c>
      <c r="T375" t="str">
        <f>HYPERLINK("https://docs.wto.org/imrd/directdoc.asp?DDFDocuments/v/G/TBTN26/CHL787.docx", "https://docs.wto.org/imrd/directdoc.asp?DDFDocuments/v/G/TBTN26/CHL787.docx")</f>
        <v>https://docs.wto.org/imrd/directdoc.asp?DDFDocuments/v/G/TBTN26/CHL787.docx</v>
      </c>
      <c r="U375" t="s">
        <v>64</v>
      </c>
      <c r="V375" t="s">
        <v>46</v>
      </c>
      <c r="W375" t="s">
        <v>46</v>
      </c>
      <c r="X375" t="s">
        <v>46</v>
      </c>
      <c r="Y375" t="s">
        <v>46</v>
      </c>
      <c r="Z375" t="s">
        <v>46</v>
      </c>
      <c r="AA375" t="s">
        <v>46</v>
      </c>
      <c r="AB375" s="2" t="s">
        <v>1876</v>
      </c>
      <c r="AC375" t="s">
        <v>43</v>
      </c>
      <c r="AD375" t="s">
        <v>43</v>
      </c>
      <c r="AE375" t="s">
        <v>43</v>
      </c>
      <c r="AF375" t="s">
        <v>43</v>
      </c>
      <c r="AG375" t="s">
        <v>43</v>
      </c>
      <c r="AH375" s="2" t="s">
        <v>43</v>
      </c>
    </row>
    <row r="376" spans="1:34" ht="165">
      <c r="A376" s="6" t="s">
        <v>132</v>
      </c>
      <c r="B376" s="7">
        <v>46078</v>
      </c>
      <c r="C376" s="9" t="str">
        <f>HYPERLINK("https://eping.wto.org/en/Search?viewData= G/SPS/N/USA/3558"," G/SPS/N/USA/3558")</f>
        <v xml:space="preserve"> G/SPS/N/USA/3558</v>
      </c>
      <c r="D376" s="8" t="s">
        <v>1877</v>
      </c>
      <c r="E376" s="8" t="s">
        <v>1878</v>
      </c>
      <c r="F376" s="8" t="s">
        <v>1471</v>
      </c>
      <c r="G376" s="8" t="s">
        <v>43</v>
      </c>
      <c r="H376" s="8" t="s">
        <v>43</v>
      </c>
      <c r="I376" s="8" t="s">
        <v>58</v>
      </c>
      <c r="J376" s="8" t="s">
        <v>43</v>
      </c>
      <c r="K376" s="8" t="s">
        <v>157</v>
      </c>
      <c r="L376" s="6"/>
      <c r="M376" s="7">
        <v>46133</v>
      </c>
      <c r="N376" s="7">
        <v>46073</v>
      </c>
      <c r="O376" s="7">
        <v>46073</v>
      </c>
      <c r="P376" s="6" t="s">
        <v>62</v>
      </c>
      <c r="Q376" s="8" t="s">
        <v>1879</v>
      </c>
      <c r="R376" t="str">
        <f>HYPERLINK("https://docs.wto.org/imrd/directdoc.asp?DDFDocuments/t/G/SPS/NUSA3558.docx", "https://docs.wto.org/imrd/directdoc.asp?DDFDocuments/t/G/SPS/NUSA3558.docx")</f>
        <v>https://docs.wto.org/imrd/directdoc.asp?DDFDocuments/t/G/SPS/NUSA3558.docx</v>
      </c>
      <c r="S376" t="str">
        <f>HYPERLINK("https://docs.wto.org/imrd/directdoc.asp?DDFDocuments/u/G/SPS/NUSA3558.docx", "https://docs.wto.org/imrd/directdoc.asp?DDFDocuments/u/G/SPS/NUSA3558.docx")</f>
        <v>https://docs.wto.org/imrd/directdoc.asp?DDFDocuments/u/G/SPS/NUSA3558.docx</v>
      </c>
      <c r="T376" t="str">
        <f>HYPERLINK("https://docs.wto.org/imrd/directdoc.asp?DDFDocuments/v/G/SPS/NUSA3558.docx", "https://docs.wto.org/imrd/directdoc.asp?DDFDocuments/v/G/SPS/NUSA3558.docx")</f>
        <v>https://docs.wto.org/imrd/directdoc.asp?DDFDocuments/v/G/SPS/NUSA3558.docx</v>
      </c>
      <c r="U376" t="s">
        <v>43</v>
      </c>
      <c r="V376" t="s">
        <v>43</v>
      </c>
      <c r="W376" t="s">
        <v>43</v>
      </c>
      <c r="X376" t="s">
        <v>43</v>
      </c>
      <c r="Y376" t="s">
        <v>43</v>
      </c>
      <c r="Z376" t="s">
        <v>43</v>
      </c>
      <c r="AA376" t="s">
        <v>43</v>
      </c>
      <c r="AB376" s="2" t="s">
        <v>43</v>
      </c>
      <c r="AC376" t="s">
        <v>46</v>
      </c>
      <c r="AD376" t="s">
        <v>46</v>
      </c>
      <c r="AE376" t="s">
        <v>46</v>
      </c>
      <c r="AF376" t="s">
        <v>64</v>
      </c>
      <c r="AG376" t="s">
        <v>99</v>
      </c>
      <c r="AH376" s="2" t="s">
        <v>1880</v>
      </c>
    </row>
    <row r="377" spans="1:34" ht="105">
      <c r="A377" s="6" t="s">
        <v>132</v>
      </c>
      <c r="B377" s="7">
        <v>46078</v>
      </c>
      <c r="C377" s="9" t="str">
        <f>HYPERLINK("https://eping.wto.org/en/Search?viewData= G/SPS/N/USA/3555"," G/SPS/N/USA/3555")</f>
        <v xml:space="preserve"> G/SPS/N/USA/3555</v>
      </c>
      <c r="D377" s="8" t="s">
        <v>1881</v>
      </c>
      <c r="E377" s="8" t="s">
        <v>1882</v>
      </c>
      <c r="F377" s="8" t="s">
        <v>1883</v>
      </c>
      <c r="G377" s="8" t="s">
        <v>43</v>
      </c>
      <c r="H377" s="8" t="s">
        <v>43</v>
      </c>
      <c r="I377" s="8" t="s">
        <v>58</v>
      </c>
      <c r="J377" s="8" t="s">
        <v>43</v>
      </c>
      <c r="K377" s="8" t="s">
        <v>310</v>
      </c>
      <c r="L377" s="6"/>
      <c r="M377" s="7">
        <v>46133</v>
      </c>
      <c r="N377" s="7">
        <v>46073</v>
      </c>
      <c r="O377" s="7">
        <v>46073</v>
      </c>
      <c r="P377" s="6" t="s">
        <v>62</v>
      </c>
      <c r="Q377" s="8" t="s">
        <v>1884</v>
      </c>
      <c r="R377" t="str">
        <f>HYPERLINK("https://docs.wto.org/imrd/directdoc.asp?DDFDocuments/t/G/SPS/NUSA3555.docx", "https://docs.wto.org/imrd/directdoc.asp?DDFDocuments/t/G/SPS/NUSA3555.docx")</f>
        <v>https://docs.wto.org/imrd/directdoc.asp?DDFDocuments/t/G/SPS/NUSA3555.docx</v>
      </c>
      <c r="S377" t="str">
        <f>HYPERLINK("https://docs.wto.org/imrd/directdoc.asp?DDFDocuments/u/G/SPS/NUSA3555.docx", "https://docs.wto.org/imrd/directdoc.asp?DDFDocuments/u/G/SPS/NUSA3555.docx")</f>
        <v>https://docs.wto.org/imrd/directdoc.asp?DDFDocuments/u/G/SPS/NUSA3555.docx</v>
      </c>
      <c r="T377" t="str">
        <f>HYPERLINK("https://docs.wto.org/imrd/directdoc.asp?DDFDocuments/v/G/SPS/NUSA3555.docx", "https://docs.wto.org/imrd/directdoc.asp?DDFDocuments/v/G/SPS/NUSA3555.docx")</f>
        <v>https://docs.wto.org/imrd/directdoc.asp?DDFDocuments/v/G/SPS/NUSA3555.docx</v>
      </c>
      <c r="U377" t="s">
        <v>43</v>
      </c>
      <c r="V377" t="s">
        <v>43</v>
      </c>
      <c r="W377" t="s">
        <v>43</v>
      </c>
      <c r="X377" t="s">
        <v>43</v>
      </c>
      <c r="Y377" t="s">
        <v>43</v>
      </c>
      <c r="Z377" t="s">
        <v>43</v>
      </c>
      <c r="AA377" t="s">
        <v>43</v>
      </c>
      <c r="AB377" s="2" t="s">
        <v>43</v>
      </c>
      <c r="AC377" t="s">
        <v>46</v>
      </c>
      <c r="AD377" t="s">
        <v>46</v>
      </c>
      <c r="AE377" t="s">
        <v>46</v>
      </c>
      <c r="AF377" t="s">
        <v>64</v>
      </c>
      <c r="AG377" t="s">
        <v>99</v>
      </c>
      <c r="AH377" s="2" t="s">
        <v>1885</v>
      </c>
    </row>
    <row r="378" spans="1:34" ht="30">
      <c r="A378" s="6" t="s">
        <v>1886</v>
      </c>
      <c r="B378" s="7">
        <v>46078</v>
      </c>
      <c r="C378" s="9" t="str">
        <f>HYPERLINK("https://eping.wto.org/en/Search?viewData= G/TBT/N/ARE/697, G/TBT/N/BHR/775, G/TBT/N/KWT/759, G/TBT/N/OMN/598, G/TBT/N/QAT/749, G/TBT/N/SAU/1432, G/TBT/N/YEM/348"," G/TBT/N/ARE/697, G/TBT/N/BHR/775, G/TBT/N/KWT/759, G/TBT/N/OMN/598, G/TBT/N/QAT/749, G/TBT/N/SAU/1432, G/TBT/N/YEM/348")</f>
        <v xml:space="preserve"> G/TBT/N/ARE/697, G/TBT/N/BHR/775, G/TBT/N/KWT/759, G/TBT/N/OMN/598, G/TBT/N/QAT/749, G/TBT/N/SAU/1432, G/TBT/N/YEM/348</v>
      </c>
      <c r="D378" s="8" t="s">
        <v>1800</v>
      </c>
      <c r="E378" s="8" t="s">
        <v>1801</v>
      </c>
      <c r="F378" s="8" t="s">
        <v>1802</v>
      </c>
      <c r="G378" s="8" t="s">
        <v>43</v>
      </c>
      <c r="H378" s="8" t="s">
        <v>1803</v>
      </c>
      <c r="I378" s="8" t="s">
        <v>52</v>
      </c>
      <c r="J378" s="8" t="s">
        <v>1804</v>
      </c>
      <c r="K378" s="8" t="s">
        <v>240</v>
      </c>
      <c r="L378" s="6"/>
      <c r="M378" s="7">
        <v>46138</v>
      </c>
      <c r="N378" s="7" t="s">
        <v>79</v>
      </c>
      <c r="O378" s="7" t="s">
        <v>114</v>
      </c>
      <c r="P378" s="6" t="s">
        <v>62</v>
      </c>
      <c r="Q378" s="8" t="s">
        <v>1805</v>
      </c>
      <c r="R378" t="str">
        <f>HYPERLINK("https://docs.wto.org/imrd/directdoc.asp?DDFDocuments/t/G/TBTN26/ARE697.docx", "https://docs.wto.org/imrd/directdoc.asp?DDFDocuments/t/G/TBTN26/ARE697.docx")</f>
        <v>https://docs.wto.org/imrd/directdoc.asp?DDFDocuments/t/G/TBTN26/ARE697.docx</v>
      </c>
      <c r="S378" t="str">
        <f>HYPERLINK("https://docs.wto.org/imrd/directdoc.asp?DDFDocuments/u/G/TBTN26/ARE697.docx", "https://docs.wto.org/imrd/directdoc.asp?DDFDocuments/u/G/TBTN26/ARE697.docx")</f>
        <v>https://docs.wto.org/imrd/directdoc.asp?DDFDocuments/u/G/TBTN26/ARE697.docx</v>
      </c>
      <c r="T378" t="str">
        <f>HYPERLINK("https://docs.wto.org/imrd/directdoc.asp?DDFDocuments/v/G/TBTN26/ARE697.docx", "https://docs.wto.org/imrd/directdoc.asp?DDFDocuments/v/G/TBTN26/ARE697.docx")</f>
        <v>https://docs.wto.org/imrd/directdoc.asp?DDFDocuments/v/G/TBTN26/ARE697.docx</v>
      </c>
      <c r="U378" t="s">
        <v>64</v>
      </c>
      <c r="V378" t="s">
        <v>46</v>
      </c>
      <c r="W378" t="s">
        <v>46</v>
      </c>
      <c r="X378" t="s">
        <v>46</v>
      </c>
      <c r="Y378" t="s">
        <v>46</v>
      </c>
      <c r="Z378" t="s">
        <v>46</v>
      </c>
      <c r="AA378" t="s">
        <v>46</v>
      </c>
      <c r="AB378" s="2" t="s">
        <v>1806</v>
      </c>
      <c r="AC378" t="s">
        <v>43</v>
      </c>
      <c r="AD378" t="s">
        <v>43</v>
      </c>
      <c r="AE378" t="s">
        <v>43</v>
      </c>
      <c r="AF378" t="s">
        <v>43</v>
      </c>
      <c r="AG378" t="s">
        <v>43</v>
      </c>
      <c r="AH378" s="2" t="s">
        <v>43</v>
      </c>
    </row>
    <row r="379" spans="1:34" ht="30">
      <c r="A379" s="6" t="s">
        <v>338</v>
      </c>
      <c r="B379" s="7">
        <v>46078</v>
      </c>
      <c r="C379" s="9" t="str">
        <f>HYPERLINK("https://eping.wto.org/en/Search?viewData= G/TBT/N/SAU/1431"," G/TBT/N/SAU/1431")</f>
        <v xml:space="preserve"> G/TBT/N/SAU/1431</v>
      </c>
      <c r="D379" s="8" t="s">
        <v>1887</v>
      </c>
      <c r="E379" s="8" t="s">
        <v>1888</v>
      </c>
      <c r="F379" s="8" t="s">
        <v>1889</v>
      </c>
      <c r="G379" s="8" t="s">
        <v>43</v>
      </c>
      <c r="H379" s="8" t="s">
        <v>1890</v>
      </c>
      <c r="I379" s="8" t="s">
        <v>1891</v>
      </c>
      <c r="J379" s="8" t="s">
        <v>1892</v>
      </c>
      <c r="K379" s="8" t="s">
        <v>350</v>
      </c>
      <c r="L379" s="6"/>
      <c r="M379" s="7">
        <v>46138</v>
      </c>
      <c r="N379" s="7" t="s">
        <v>79</v>
      </c>
      <c r="O379" s="7" t="s">
        <v>114</v>
      </c>
      <c r="P379" s="6" t="s">
        <v>62</v>
      </c>
      <c r="Q379" s="8" t="s">
        <v>1893</v>
      </c>
      <c r="R379" t="str">
        <f>HYPERLINK("https://docs.wto.org/imrd/directdoc.asp?DDFDocuments/t/G/TBTN26/SAU1431.docx", "https://docs.wto.org/imrd/directdoc.asp?DDFDocuments/t/G/TBTN26/SAU1431.docx")</f>
        <v>https://docs.wto.org/imrd/directdoc.asp?DDFDocuments/t/G/TBTN26/SAU1431.docx</v>
      </c>
      <c r="S379" t="str">
        <f>HYPERLINK("https://docs.wto.org/imrd/directdoc.asp?DDFDocuments/u/G/TBTN26/SAU1431.docx", "https://docs.wto.org/imrd/directdoc.asp?DDFDocuments/u/G/TBTN26/SAU1431.docx")</f>
        <v>https://docs.wto.org/imrd/directdoc.asp?DDFDocuments/u/G/TBTN26/SAU1431.docx</v>
      </c>
      <c r="T379" t="str">
        <f>HYPERLINK("https://docs.wto.org/imrd/directdoc.asp?DDFDocuments/v/G/TBTN26/SAU1431.docx", "https://docs.wto.org/imrd/directdoc.asp?DDFDocuments/v/G/TBTN26/SAU1431.docx")</f>
        <v>https://docs.wto.org/imrd/directdoc.asp?DDFDocuments/v/G/TBTN26/SAU1431.docx</v>
      </c>
      <c r="U379" t="s">
        <v>64</v>
      </c>
      <c r="V379" t="s">
        <v>46</v>
      </c>
      <c r="W379" t="s">
        <v>46</v>
      </c>
      <c r="X379" t="s">
        <v>46</v>
      </c>
      <c r="Y379" t="s">
        <v>46</v>
      </c>
      <c r="Z379" t="s">
        <v>46</v>
      </c>
      <c r="AA379" t="s">
        <v>46</v>
      </c>
      <c r="AB379" s="2" t="s">
        <v>43</v>
      </c>
      <c r="AC379" t="s">
        <v>43</v>
      </c>
      <c r="AD379" t="s">
        <v>43</v>
      </c>
      <c r="AE379" t="s">
        <v>43</v>
      </c>
      <c r="AF379" t="s">
        <v>43</v>
      </c>
      <c r="AG379" t="s">
        <v>43</v>
      </c>
      <c r="AH379" s="2" t="s">
        <v>43</v>
      </c>
    </row>
    <row r="380" spans="1:34" ht="60">
      <c r="A380" s="6" t="s">
        <v>124</v>
      </c>
      <c r="B380" s="7">
        <v>46078</v>
      </c>
      <c r="C380" s="9" t="str">
        <f>HYPERLINK("https://eping.wto.org/en/Search?viewData= G/TBT/N/KEN/1991"," G/TBT/N/KEN/1991")</f>
        <v xml:space="preserve"> G/TBT/N/KEN/1991</v>
      </c>
      <c r="D380" s="8" t="s">
        <v>1894</v>
      </c>
      <c r="E380" s="8" t="s">
        <v>1895</v>
      </c>
      <c r="F380" s="8" t="s">
        <v>1896</v>
      </c>
      <c r="G380" s="8" t="s">
        <v>43</v>
      </c>
      <c r="H380" s="8" t="s">
        <v>1292</v>
      </c>
      <c r="I380" s="8" t="s">
        <v>1897</v>
      </c>
      <c r="J380" s="8" t="s">
        <v>43</v>
      </c>
      <c r="K380" s="8" t="s">
        <v>240</v>
      </c>
      <c r="L380" s="6"/>
      <c r="M380" s="7">
        <v>46138</v>
      </c>
      <c r="N380" s="7">
        <v>46203</v>
      </c>
      <c r="O380" s="7" t="s">
        <v>79</v>
      </c>
      <c r="P380" s="6" t="s">
        <v>62</v>
      </c>
      <c r="Q380" s="8" t="s">
        <v>1898</v>
      </c>
      <c r="R380" t="str">
        <f>HYPERLINK("https://docs.wto.org/imrd/directdoc.asp?DDFDocuments/t/G/TBTN26/KEN1991.docx", "https://docs.wto.org/imrd/directdoc.asp?DDFDocuments/t/G/TBTN26/KEN1991.docx")</f>
        <v>https://docs.wto.org/imrd/directdoc.asp?DDFDocuments/t/G/TBTN26/KEN1991.docx</v>
      </c>
      <c r="S380" t="str">
        <f>HYPERLINK("https://docs.wto.org/imrd/directdoc.asp?DDFDocuments/u/G/TBTN26/KEN1991.docx", "https://docs.wto.org/imrd/directdoc.asp?DDFDocuments/u/G/TBTN26/KEN1991.docx")</f>
        <v>https://docs.wto.org/imrd/directdoc.asp?DDFDocuments/u/G/TBTN26/KEN1991.docx</v>
      </c>
      <c r="T380" t="str">
        <f>HYPERLINK("https://docs.wto.org/imrd/directdoc.asp?DDFDocuments/v/G/TBTN26/KEN1991.docx", "https://docs.wto.org/imrd/directdoc.asp?DDFDocuments/v/G/TBTN26/KEN1991.docx")</f>
        <v>https://docs.wto.org/imrd/directdoc.asp?DDFDocuments/v/G/TBTN26/KEN1991.docx</v>
      </c>
      <c r="U380" t="s">
        <v>64</v>
      </c>
      <c r="V380" t="s">
        <v>46</v>
      </c>
      <c r="W380" t="s">
        <v>46</v>
      </c>
      <c r="X380" t="s">
        <v>46</v>
      </c>
      <c r="Y380" t="s">
        <v>46</v>
      </c>
      <c r="Z380" t="s">
        <v>46</v>
      </c>
      <c r="AA380" t="s">
        <v>46</v>
      </c>
      <c r="AB380" s="2" t="s">
        <v>1899</v>
      </c>
      <c r="AC380" t="s">
        <v>43</v>
      </c>
      <c r="AD380" t="s">
        <v>43</v>
      </c>
      <c r="AE380" t="s">
        <v>43</v>
      </c>
      <c r="AF380" t="s">
        <v>43</v>
      </c>
      <c r="AG380" t="s">
        <v>43</v>
      </c>
      <c r="AH380" s="2" t="s">
        <v>43</v>
      </c>
    </row>
    <row r="381" spans="1:34" ht="30">
      <c r="A381" s="6" t="s">
        <v>1900</v>
      </c>
      <c r="B381" s="7">
        <v>46078</v>
      </c>
      <c r="C381" s="9" t="str">
        <f>HYPERLINK("https://eping.wto.org/en/Search?viewData= G/TBT/N/ARE/697, G/TBT/N/BHR/775, G/TBT/N/KWT/759, G/TBT/N/OMN/598, G/TBT/N/QAT/749, G/TBT/N/SAU/1432, G/TBT/N/YEM/348"," G/TBT/N/ARE/697, G/TBT/N/BHR/775, G/TBT/N/KWT/759, G/TBT/N/OMN/598, G/TBT/N/QAT/749, G/TBT/N/SAU/1432, G/TBT/N/YEM/348")</f>
        <v xml:space="preserve"> G/TBT/N/ARE/697, G/TBT/N/BHR/775, G/TBT/N/KWT/759, G/TBT/N/OMN/598, G/TBT/N/QAT/749, G/TBT/N/SAU/1432, G/TBT/N/YEM/348</v>
      </c>
      <c r="D381" s="8" t="s">
        <v>1800</v>
      </c>
      <c r="E381" s="8" t="s">
        <v>1801</v>
      </c>
      <c r="F381" s="8" t="s">
        <v>1802</v>
      </c>
      <c r="G381" s="8" t="s">
        <v>43</v>
      </c>
      <c r="H381" s="8" t="s">
        <v>1803</v>
      </c>
      <c r="I381" s="8" t="s">
        <v>52</v>
      </c>
      <c r="J381" s="8" t="s">
        <v>1804</v>
      </c>
      <c r="K381" s="8" t="s">
        <v>240</v>
      </c>
      <c r="L381" s="6"/>
      <c r="M381" s="7">
        <v>46138</v>
      </c>
      <c r="N381" s="7" t="s">
        <v>79</v>
      </c>
      <c r="O381" s="7" t="s">
        <v>114</v>
      </c>
      <c r="P381" s="6" t="s">
        <v>62</v>
      </c>
      <c r="Q381" s="8" t="s">
        <v>1805</v>
      </c>
      <c r="R381" t="str">
        <f>HYPERLINK("https://docs.wto.org/imrd/directdoc.asp?DDFDocuments/t/G/TBTN26/ARE697.docx", "https://docs.wto.org/imrd/directdoc.asp?DDFDocuments/t/G/TBTN26/ARE697.docx")</f>
        <v>https://docs.wto.org/imrd/directdoc.asp?DDFDocuments/t/G/TBTN26/ARE697.docx</v>
      </c>
      <c r="S381" t="str">
        <f>HYPERLINK("https://docs.wto.org/imrd/directdoc.asp?DDFDocuments/u/G/TBTN26/ARE697.docx", "https://docs.wto.org/imrd/directdoc.asp?DDFDocuments/u/G/TBTN26/ARE697.docx")</f>
        <v>https://docs.wto.org/imrd/directdoc.asp?DDFDocuments/u/G/TBTN26/ARE697.docx</v>
      </c>
      <c r="T381" t="str">
        <f>HYPERLINK("https://docs.wto.org/imrd/directdoc.asp?DDFDocuments/v/G/TBTN26/ARE697.docx", "https://docs.wto.org/imrd/directdoc.asp?DDFDocuments/v/G/TBTN26/ARE697.docx")</f>
        <v>https://docs.wto.org/imrd/directdoc.asp?DDFDocuments/v/G/TBTN26/ARE697.docx</v>
      </c>
      <c r="U381" t="s">
        <v>64</v>
      </c>
      <c r="V381" t="s">
        <v>46</v>
      </c>
      <c r="W381" t="s">
        <v>46</v>
      </c>
      <c r="X381" t="s">
        <v>46</v>
      </c>
      <c r="Y381" t="s">
        <v>46</v>
      </c>
      <c r="Z381" t="s">
        <v>46</v>
      </c>
      <c r="AA381" t="s">
        <v>46</v>
      </c>
      <c r="AB381" s="2" t="s">
        <v>1806</v>
      </c>
      <c r="AC381" t="s">
        <v>43</v>
      </c>
      <c r="AD381" t="s">
        <v>43</v>
      </c>
      <c r="AE381" t="s">
        <v>43</v>
      </c>
      <c r="AF381" t="s">
        <v>43</v>
      </c>
      <c r="AG381" t="s">
        <v>43</v>
      </c>
      <c r="AH381" s="2" t="s">
        <v>43</v>
      </c>
    </row>
    <row r="382" spans="1:34" ht="120">
      <c r="A382" s="6" t="s">
        <v>132</v>
      </c>
      <c r="B382" s="7">
        <v>46078</v>
      </c>
      <c r="C382" s="9" t="str">
        <f>HYPERLINK("https://eping.wto.org/en/Search?viewData= G/SPS/N/USA/2371/Add.2"," G/SPS/N/USA/2371/Add.2")</f>
        <v xml:space="preserve"> G/SPS/N/USA/2371/Add.2</v>
      </c>
      <c r="D382" s="8" t="s">
        <v>1901</v>
      </c>
      <c r="E382" s="8" t="s">
        <v>1902</v>
      </c>
      <c r="F382" s="8" t="s">
        <v>1903</v>
      </c>
      <c r="G382" s="8" t="s">
        <v>1904</v>
      </c>
      <c r="H382" s="8" t="s">
        <v>43</v>
      </c>
      <c r="I382" s="8" t="s">
        <v>58</v>
      </c>
      <c r="J382" s="8"/>
      <c r="K382" s="8" t="s">
        <v>71</v>
      </c>
      <c r="L382" s="6"/>
      <c r="M382" s="7">
        <v>46132</v>
      </c>
      <c r="N382" s="7"/>
      <c r="O382" s="7"/>
      <c r="P382" s="6" t="s">
        <v>44</v>
      </c>
      <c r="Q382" s="8" t="s">
        <v>1905</v>
      </c>
      <c r="R382" t="str">
        <f>HYPERLINK("https://docs.wto.org/imrd/directdoc.asp?DDFDocuments/t/G/SPS/NUSA2371A2.docx", "https://docs.wto.org/imrd/directdoc.asp?DDFDocuments/t/G/SPS/NUSA2371A2.docx")</f>
        <v>https://docs.wto.org/imrd/directdoc.asp?DDFDocuments/t/G/SPS/NUSA2371A2.docx</v>
      </c>
      <c r="S382" t="str">
        <f>HYPERLINK("https://docs.wto.org/imrd/directdoc.asp?DDFDocuments/u/G/SPS/NUSA2371A2.docx", "https://docs.wto.org/imrd/directdoc.asp?DDFDocuments/u/G/SPS/NUSA2371A2.docx")</f>
        <v>https://docs.wto.org/imrd/directdoc.asp?DDFDocuments/u/G/SPS/NUSA2371A2.docx</v>
      </c>
      <c r="T382" t="str">
        <f>HYPERLINK("https://docs.wto.org/imrd/directdoc.asp?DDFDocuments/v/G/SPS/NUSA2371A2.docx", "https://docs.wto.org/imrd/directdoc.asp?DDFDocuments/v/G/SPS/NUSA2371A2.docx")</f>
        <v>https://docs.wto.org/imrd/directdoc.asp?DDFDocuments/v/G/SPS/NUSA2371A2.docx</v>
      </c>
      <c r="U382" t="s">
        <v>43</v>
      </c>
      <c r="V382" t="s">
        <v>43</v>
      </c>
      <c r="W382" t="s">
        <v>43</v>
      </c>
      <c r="X382" t="s">
        <v>43</v>
      </c>
      <c r="Y382" t="s">
        <v>43</v>
      </c>
      <c r="Z382" t="s">
        <v>43</v>
      </c>
      <c r="AA382" t="s">
        <v>43</v>
      </c>
      <c r="AB382" s="2" t="s">
        <v>43</v>
      </c>
      <c r="AC382" t="s">
        <v>43</v>
      </c>
      <c r="AD382" t="s">
        <v>43</v>
      </c>
      <c r="AE382" t="s">
        <v>43</v>
      </c>
      <c r="AF382" t="s">
        <v>43</v>
      </c>
      <c r="AG382" t="s">
        <v>43</v>
      </c>
      <c r="AH382" s="2" t="s">
        <v>43</v>
      </c>
    </row>
    <row r="383" spans="1:34" ht="180">
      <c r="A383" s="6" t="s">
        <v>100</v>
      </c>
      <c r="B383" s="7">
        <v>46078</v>
      </c>
      <c r="C383" s="9" t="str">
        <f>HYPERLINK("https://eping.wto.org/en/Search?viewData= G/SPS/N/THA/770/Add.1"," G/SPS/N/THA/770/Add.1")</f>
        <v xml:space="preserve"> G/SPS/N/THA/770/Add.1</v>
      </c>
      <c r="D383" s="8" t="s">
        <v>1906</v>
      </c>
      <c r="E383" s="8" t="s">
        <v>1907</v>
      </c>
      <c r="F383" s="8" t="s">
        <v>1908</v>
      </c>
      <c r="G383" s="8" t="s">
        <v>1909</v>
      </c>
      <c r="H383" s="8" t="s">
        <v>43</v>
      </c>
      <c r="I383" s="8" t="s">
        <v>104</v>
      </c>
      <c r="J383" s="8" t="s">
        <v>43</v>
      </c>
      <c r="K383" s="8" t="s">
        <v>1910</v>
      </c>
      <c r="L383" s="6"/>
      <c r="M383" s="7" t="s">
        <v>43</v>
      </c>
      <c r="N383" s="7"/>
      <c r="O383" s="7"/>
      <c r="P383" s="6" t="s">
        <v>72</v>
      </c>
      <c r="Q383" s="6"/>
      <c r="R383" t="str">
        <f>HYPERLINK("https://docs.wto.org/imrd/directdoc.asp?DDFDocuments/t/G/SPS/NTHA770A1.docx", "https://docs.wto.org/imrd/directdoc.asp?DDFDocuments/t/G/SPS/NTHA770A1.docx")</f>
        <v>https://docs.wto.org/imrd/directdoc.asp?DDFDocuments/t/G/SPS/NTHA770A1.docx</v>
      </c>
      <c r="S383" t="str">
        <f>HYPERLINK("https://docs.wto.org/imrd/directdoc.asp?DDFDocuments/u/G/SPS/NTHA770A1.docx", "https://docs.wto.org/imrd/directdoc.asp?DDFDocuments/u/G/SPS/NTHA770A1.docx")</f>
        <v>https://docs.wto.org/imrd/directdoc.asp?DDFDocuments/u/G/SPS/NTHA770A1.docx</v>
      </c>
      <c r="T383" t="str">
        <f>HYPERLINK("https://docs.wto.org/imrd/directdoc.asp?DDFDocuments/v/G/SPS/NTHA770A1.docx", "https://docs.wto.org/imrd/directdoc.asp?DDFDocuments/v/G/SPS/NTHA770A1.docx")</f>
        <v>https://docs.wto.org/imrd/directdoc.asp?DDFDocuments/v/G/SPS/NTHA770A1.docx</v>
      </c>
      <c r="U383" t="s">
        <v>43</v>
      </c>
      <c r="V383" t="s">
        <v>43</v>
      </c>
      <c r="W383" t="s">
        <v>43</v>
      </c>
      <c r="X383" t="s">
        <v>43</v>
      </c>
      <c r="Y383" t="s">
        <v>43</v>
      </c>
      <c r="Z383" t="s">
        <v>43</v>
      </c>
      <c r="AA383" t="s">
        <v>43</v>
      </c>
      <c r="AB383" s="2" t="s">
        <v>43</v>
      </c>
      <c r="AC383" t="s">
        <v>43</v>
      </c>
      <c r="AD383" t="s">
        <v>43</v>
      </c>
      <c r="AE383" t="s">
        <v>43</v>
      </c>
      <c r="AF383" t="s">
        <v>43</v>
      </c>
      <c r="AG383" t="s">
        <v>43</v>
      </c>
      <c r="AH383" s="2" t="s">
        <v>43</v>
      </c>
    </row>
    <row r="384" spans="1:34" ht="150">
      <c r="A384" s="6" t="s">
        <v>132</v>
      </c>
      <c r="B384" s="7">
        <v>46078</v>
      </c>
      <c r="C384" s="9" t="str">
        <f>HYPERLINK("https://eping.wto.org/en/Search?viewData= G/SPS/N/USA/3554"," G/SPS/N/USA/3554")</f>
        <v xml:space="preserve"> G/SPS/N/USA/3554</v>
      </c>
      <c r="D384" s="8" t="s">
        <v>1911</v>
      </c>
      <c r="E384" s="8" t="s">
        <v>1912</v>
      </c>
      <c r="F384" s="8" t="s">
        <v>1471</v>
      </c>
      <c r="G384" s="8" t="s">
        <v>43</v>
      </c>
      <c r="H384" s="8" t="s">
        <v>43</v>
      </c>
      <c r="I384" s="8" t="s">
        <v>58</v>
      </c>
      <c r="J384" s="8" t="s">
        <v>43</v>
      </c>
      <c r="K384" s="8" t="s">
        <v>157</v>
      </c>
      <c r="L384" s="6"/>
      <c r="M384" s="7">
        <v>46133</v>
      </c>
      <c r="N384" s="7">
        <v>46073</v>
      </c>
      <c r="O384" s="7">
        <v>46073</v>
      </c>
      <c r="P384" s="6" t="s">
        <v>62</v>
      </c>
      <c r="Q384" s="8" t="s">
        <v>1913</v>
      </c>
      <c r="R384" t="str">
        <f>HYPERLINK("https://docs.wto.org/imrd/directdoc.asp?DDFDocuments/t/G/SPS/NUSA3554.docx", "https://docs.wto.org/imrd/directdoc.asp?DDFDocuments/t/G/SPS/NUSA3554.docx")</f>
        <v>https://docs.wto.org/imrd/directdoc.asp?DDFDocuments/t/G/SPS/NUSA3554.docx</v>
      </c>
      <c r="S384" t="str">
        <f>HYPERLINK("https://docs.wto.org/imrd/directdoc.asp?DDFDocuments/u/G/SPS/NUSA3554.docx", "https://docs.wto.org/imrd/directdoc.asp?DDFDocuments/u/G/SPS/NUSA3554.docx")</f>
        <v>https://docs.wto.org/imrd/directdoc.asp?DDFDocuments/u/G/SPS/NUSA3554.docx</v>
      </c>
      <c r="T384" t="str">
        <f>HYPERLINK("https://docs.wto.org/imrd/directdoc.asp?DDFDocuments/v/G/SPS/NUSA3554.docx", "https://docs.wto.org/imrd/directdoc.asp?DDFDocuments/v/G/SPS/NUSA3554.docx")</f>
        <v>https://docs.wto.org/imrd/directdoc.asp?DDFDocuments/v/G/SPS/NUSA3554.docx</v>
      </c>
      <c r="U384" t="s">
        <v>43</v>
      </c>
      <c r="V384" t="s">
        <v>43</v>
      </c>
      <c r="W384" t="s">
        <v>43</v>
      </c>
      <c r="X384" t="s">
        <v>43</v>
      </c>
      <c r="Y384" t="s">
        <v>43</v>
      </c>
      <c r="Z384" t="s">
        <v>43</v>
      </c>
      <c r="AA384" t="s">
        <v>43</v>
      </c>
      <c r="AB384" s="2" t="s">
        <v>43</v>
      </c>
      <c r="AC384" t="s">
        <v>46</v>
      </c>
      <c r="AD384" t="s">
        <v>46</v>
      </c>
      <c r="AE384" t="s">
        <v>46</v>
      </c>
      <c r="AF384" t="s">
        <v>64</v>
      </c>
      <c r="AG384" t="s">
        <v>99</v>
      </c>
      <c r="AH384" s="2" t="s">
        <v>1885</v>
      </c>
    </row>
    <row r="385" spans="1:34" ht="45">
      <c r="A385" s="6" t="s">
        <v>904</v>
      </c>
      <c r="B385" s="7">
        <v>46077</v>
      </c>
      <c r="C385" s="9" t="str">
        <f>HYPERLINK("https://eping.wto.org/en/Search?viewData= G/SPS/N/MEX/463"," G/SPS/N/MEX/463")</f>
        <v xml:space="preserve"> G/SPS/N/MEX/463</v>
      </c>
      <c r="D385" s="8" t="s">
        <v>1914</v>
      </c>
      <c r="E385" s="8" t="s">
        <v>1915</v>
      </c>
      <c r="F385" s="8" t="s">
        <v>1916</v>
      </c>
      <c r="G385" s="8" t="s">
        <v>43</v>
      </c>
      <c r="H385" s="8" t="s">
        <v>43</v>
      </c>
      <c r="I385" s="8" t="s">
        <v>909</v>
      </c>
      <c r="J385" s="8" t="s">
        <v>43</v>
      </c>
      <c r="K385" s="8" t="s">
        <v>1706</v>
      </c>
      <c r="L385" s="6" t="s">
        <v>1917</v>
      </c>
      <c r="M385" s="7">
        <v>46137</v>
      </c>
      <c r="N385" s="7" t="s">
        <v>79</v>
      </c>
      <c r="O385" s="7" t="s">
        <v>79</v>
      </c>
      <c r="P385" s="6" t="s">
        <v>62</v>
      </c>
      <c r="Q385" s="8" t="s">
        <v>1918</v>
      </c>
      <c r="R385" t="str">
        <f>HYPERLINK("https://docs.wto.org/imrd/directdoc.asp?DDFDocuments/t/G/SPS/NMEX463.docx", "https://docs.wto.org/imrd/directdoc.asp?DDFDocuments/t/G/SPS/NMEX463.docx")</f>
        <v>https://docs.wto.org/imrd/directdoc.asp?DDFDocuments/t/G/SPS/NMEX463.docx</v>
      </c>
      <c r="S385" t="str">
        <f>HYPERLINK("https://docs.wto.org/imrd/directdoc.asp?DDFDocuments/u/G/SPS/NMEX463.docx", "https://docs.wto.org/imrd/directdoc.asp?DDFDocuments/u/G/SPS/NMEX463.docx")</f>
        <v>https://docs.wto.org/imrd/directdoc.asp?DDFDocuments/u/G/SPS/NMEX463.docx</v>
      </c>
      <c r="T385" t="str">
        <f>HYPERLINK("https://docs.wto.org/imrd/directdoc.asp?DDFDocuments/v/G/SPS/NMEX463.docx", "https://docs.wto.org/imrd/directdoc.asp?DDFDocuments/v/G/SPS/NMEX463.docx")</f>
        <v>https://docs.wto.org/imrd/directdoc.asp?DDFDocuments/v/G/SPS/NMEX463.docx</v>
      </c>
      <c r="U385" t="s">
        <v>43</v>
      </c>
      <c r="V385" t="s">
        <v>43</v>
      </c>
      <c r="W385" t="s">
        <v>43</v>
      </c>
      <c r="X385" t="s">
        <v>43</v>
      </c>
      <c r="Y385" t="s">
        <v>43</v>
      </c>
      <c r="Z385" t="s">
        <v>43</v>
      </c>
      <c r="AA385" t="s">
        <v>43</v>
      </c>
      <c r="AB385" s="2" t="s">
        <v>43</v>
      </c>
      <c r="AC385" t="s">
        <v>46</v>
      </c>
      <c r="AD385" t="s">
        <v>46</v>
      </c>
      <c r="AE385" t="s">
        <v>46</v>
      </c>
      <c r="AF385" t="s">
        <v>64</v>
      </c>
      <c r="AG385" t="s">
        <v>99</v>
      </c>
      <c r="AH385" s="2" t="s">
        <v>43</v>
      </c>
    </row>
    <row r="386" spans="1:34" ht="45">
      <c r="A386" s="6" t="s">
        <v>325</v>
      </c>
      <c r="B386" s="7">
        <v>46077</v>
      </c>
      <c r="C386" s="9" t="str">
        <f>HYPERLINK("https://eping.wto.org/en/Search?viewData= G/TBT/N/TPKM/580/Add.1"," G/TBT/N/TPKM/580/Add.1")</f>
        <v xml:space="preserve"> G/TBT/N/TPKM/580/Add.1</v>
      </c>
      <c r="D386" s="8" t="s">
        <v>1919</v>
      </c>
      <c r="E386" s="8" t="s">
        <v>1920</v>
      </c>
      <c r="F386" s="8" t="s">
        <v>1921</v>
      </c>
      <c r="G386" s="8" t="s">
        <v>43</v>
      </c>
      <c r="H386" s="8" t="s">
        <v>1922</v>
      </c>
      <c r="I386" s="8" t="s">
        <v>322</v>
      </c>
      <c r="J386" s="8" t="s">
        <v>43</v>
      </c>
      <c r="K386" s="8" t="s">
        <v>1923</v>
      </c>
      <c r="L386" s="6"/>
      <c r="M386" s="7" t="s">
        <v>43</v>
      </c>
      <c r="N386" s="7"/>
      <c r="O386" s="7"/>
      <c r="P386" s="6" t="s">
        <v>44</v>
      </c>
      <c r="Q386" s="8" t="s">
        <v>1924</v>
      </c>
      <c r="R386" t="str">
        <f>HYPERLINK("https://docs.wto.org/imrd/directdoc.asp?DDFDocuments/t/G/TBTN25/TPKM580A1.docx", "https://docs.wto.org/imrd/directdoc.asp?DDFDocuments/t/G/TBTN25/TPKM580A1.docx")</f>
        <v>https://docs.wto.org/imrd/directdoc.asp?DDFDocuments/t/G/TBTN25/TPKM580A1.docx</v>
      </c>
      <c r="S386" t="str">
        <f>HYPERLINK("https://docs.wto.org/imrd/directdoc.asp?DDFDocuments/u/G/TBTN25/TPKM580A1.docx", "https://docs.wto.org/imrd/directdoc.asp?DDFDocuments/u/G/TBTN25/TPKM580A1.docx")</f>
        <v>https://docs.wto.org/imrd/directdoc.asp?DDFDocuments/u/G/TBTN25/TPKM580A1.docx</v>
      </c>
      <c r="T386" t="str">
        <f>HYPERLINK("https://docs.wto.org/imrd/directdoc.asp?DDFDocuments/v/G/TBTN25/TPKM580A1.docx", "https://docs.wto.org/imrd/directdoc.asp?DDFDocuments/v/G/TBTN25/TPKM580A1.docx")</f>
        <v>https://docs.wto.org/imrd/directdoc.asp?DDFDocuments/v/G/TBTN25/TPKM580A1.docx</v>
      </c>
      <c r="U386" t="s">
        <v>46</v>
      </c>
      <c r="V386" t="s">
        <v>46</v>
      </c>
      <c r="W386" t="s">
        <v>46</v>
      </c>
      <c r="X386" t="s">
        <v>46</v>
      </c>
      <c r="Y386" t="s">
        <v>46</v>
      </c>
      <c r="Z386" t="s">
        <v>46</v>
      </c>
      <c r="AA386" t="s">
        <v>46</v>
      </c>
      <c r="AB386" s="2" t="s">
        <v>43</v>
      </c>
      <c r="AC386" t="s">
        <v>43</v>
      </c>
      <c r="AD386" t="s">
        <v>43</v>
      </c>
      <c r="AE386" t="s">
        <v>43</v>
      </c>
      <c r="AF386" t="s">
        <v>43</v>
      </c>
      <c r="AG386" t="s">
        <v>43</v>
      </c>
      <c r="AH386" s="2" t="s">
        <v>43</v>
      </c>
    </row>
    <row r="387" spans="1:34" ht="45">
      <c r="A387" s="6" t="s">
        <v>1886</v>
      </c>
      <c r="B387" s="7">
        <v>46077</v>
      </c>
      <c r="C387" s="9" t="str">
        <f>HYPERLINK("https://eping.wto.org/en/Search?viewData= G/SPS/N/ARE/321, G/SPS/N/BHR/273, G/SPS/N/KWT/202, G/SPS/N/OMN/169, G/SPS/N/QAT/172, G/SPS/N/SAU/613, G/SPS/N/YEM/113"," G/SPS/N/ARE/321, G/SPS/N/BHR/273, G/SPS/N/KWT/202, G/SPS/N/OMN/169, G/SPS/N/QAT/172, G/SPS/N/SAU/613, G/SPS/N/YEM/113")</f>
        <v xml:space="preserve"> G/SPS/N/ARE/321, G/SPS/N/BHR/273, G/SPS/N/KWT/202, G/SPS/N/OMN/169, G/SPS/N/QAT/172, G/SPS/N/SAU/613, G/SPS/N/YEM/113</v>
      </c>
      <c r="D387" s="8" t="s">
        <v>1925</v>
      </c>
      <c r="E387" s="8" t="s">
        <v>1926</v>
      </c>
      <c r="F387" s="8" t="s">
        <v>1927</v>
      </c>
      <c r="G387" s="8" t="s">
        <v>43</v>
      </c>
      <c r="H387" s="8" t="s">
        <v>1803</v>
      </c>
      <c r="I387" s="8" t="s">
        <v>58</v>
      </c>
      <c r="J387" s="8" t="s">
        <v>43</v>
      </c>
      <c r="K387" s="8" t="s">
        <v>157</v>
      </c>
      <c r="L387" s="6" t="s">
        <v>43</v>
      </c>
      <c r="M387" s="7">
        <v>46137</v>
      </c>
      <c r="N387" s="7" t="s">
        <v>1928</v>
      </c>
      <c r="O387" s="7" t="s">
        <v>114</v>
      </c>
      <c r="P387" s="6" t="s">
        <v>62</v>
      </c>
      <c r="Q387" s="8" t="s">
        <v>1929</v>
      </c>
      <c r="R387" t="str">
        <f>HYPERLINK("https://docs.wto.org/imrd/directdoc.asp?DDFDocuments/t/G/SPS/NARE321.docx", "https://docs.wto.org/imrd/directdoc.asp?DDFDocuments/t/G/SPS/NARE321.docx")</f>
        <v>https://docs.wto.org/imrd/directdoc.asp?DDFDocuments/t/G/SPS/NARE321.docx</v>
      </c>
      <c r="S387" t="str">
        <f>HYPERLINK("https://docs.wto.org/imrd/directdoc.asp?DDFDocuments/u/G/SPS/NARE321.docx", "https://docs.wto.org/imrd/directdoc.asp?DDFDocuments/u/G/SPS/NARE321.docx")</f>
        <v>https://docs.wto.org/imrd/directdoc.asp?DDFDocuments/u/G/SPS/NARE321.docx</v>
      </c>
      <c r="T387" t="str">
        <f>HYPERLINK("https://docs.wto.org/imrd/directdoc.asp?DDFDocuments/v/G/SPS/NARE321.docx", "https://docs.wto.org/imrd/directdoc.asp?DDFDocuments/v/G/SPS/NARE321.docx")</f>
        <v>https://docs.wto.org/imrd/directdoc.asp?DDFDocuments/v/G/SPS/NARE321.docx</v>
      </c>
      <c r="U387" t="s">
        <v>43</v>
      </c>
      <c r="V387" t="s">
        <v>43</v>
      </c>
      <c r="W387" t="s">
        <v>43</v>
      </c>
      <c r="X387" t="s">
        <v>43</v>
      </c>
      <c r="Y387" t="s">
        <v>43</v>
      </c>
      <c r="Z387" t="s">
        <v>43</v>
      </c>
      <c r="AA387" t="s">
        <v>43</v>
      </c>
      <c r="AB387" s="2" t="s">
        <v>43</v>
      </c>
      <c r="AC387" t="s">
        <v>64</v>
      </c>
      <c r="AD387" t="s">
        <v>46</v>
      </c>
      <c r="AE387" t="s">
        <v>46</v>
      </c>
      <c r="AF387" t="s">
        <v>46</v>
      </c>
      <c r="AG387" t="s">
        <v>64</v>
      </c>
      <c r="AH387" s="2" t="s">
        <v>43</v>
      </c>
    </row>
    <row r="388" spans="1:34" ht="45">
      <c r="A388" s="6" t="s">
        <v>1807</v>
      </c>
      <c r="B388" s="7">
        <v>46077</v>
      </c>
      <c r="C388" s="9" t="str">
        <f>HYPERLINK("https://eping.wto.org/en/Search?viewData= G/SPS/N/ARE/321, G/SPS/N/BHR/273, G/SPS/N/KWT/202, G/SPS/N/OMN/169, G/SPS/N/QAT/172, G/SPS/N/SAU/613, G/SPS/N/YEM/113"," G/SPS/N/ARE/321, G/SPS/N/BHR/273, G/SPS/N/KWT/202, G/SPS/N/OMN/169, G/SPS/N/QAT/172, G/SPS/N/SAU/613, G/SPS/N/YEM/113")</f>
        <v xml:space="preserve"> G/SPS/N/ARE/321, G/SPS/N/BHR/273, G/SPS/N/KWT/202, G/SPS/N/OMN/169, G/SPS/N/QAT/172, G/SPS/N/SAU/613, G/SPS/N/YEM/113</v>
      </c>
      <c r="D388" s="8" t="s">
        <v>1925</v>
      </c>
      <c r="E388" s="8" t="s">
        <v>1926</v>
      </c>
      <c r="F388" s="8" t="s">
        <v>1927</v>
      </c>
      <c r="G388" s="8" t="s">
        <v>43</v>
      </c>
      <c r="H388" s="8" t="s">
        <v>1803</v>
      </c>
      <c r="I388" s="8" t="s">
        <v>58</v>
      </c>
      <c r="J388" s="8" t="s">
        <v>43</v>
      </c>
      <c r="K388" s="8" t="s">
        <v>157</v>
      </c>
      <c r="L388" s="6" t="s">
        <v>43</v>
      </c>
      <c r="M388" s="7">
        <v>46137</v>
      </c>
      <c r="N388" s="7" t="s">
        <v>1928</v>
      </c>
      <c r="O388" s="7" t="s">
        <v>114</v>
      </c>
      <c r="P388" s="6" t="s">
        <v>62</v>
      </c>
      <c r="Q388" s="8" t="s">
        <v>1929</v>
      </c>
      <c r="R388" t="str">
        <f>HYPERLINK("https://docs.wto.org/imrd/directdoc.asp?DDFDocuments/t/G/SPS/NARE321.docx", "https://docs.wto.org/imrd/directdoc.asp?DDFDocuments/t/G/SPS/NARE321.docx")</f>
        <v>https://docs.wto.org/imrd/directdoc.asp?DDFDocuments/t/G/SPS/NARE321.docx</v>
      </c>
      <c r="S388" t="str">
        <f>HYPERLINK("https://docs.wto.org/imrd/directdoc.asp?DDFDocuments/u/G/SPS/NARE321.docx", "https://docs.wto.org/imrd/directdoc.asp?DDFDocuments/u/G/SPS/NARE321.docx")</f>
        <v>https://docs.wto.org/imrd/directdoc.asp?DDFDocuments/u/G/SPS/NARE321.docx</v>
      </c>
      <c r="T388" t="str">
        <f>HYPERLINK("https://docs.wto.org/imrd/directdoc.asp?DDFDocuments/v/G/SPS/NARE321.docx", "https://docs.wto.org/imrd/directdoc.asp?DDFDocuments/v/G/SPS/NARE321.docx")</f>
        <v>https://docs.wto.org/imrd/directdoc.asp?DDFDocuments/v/G/SPS/NARE321.docx</v>
      </c>
      <c r="U388" t="s">
        <v>43</v>
      </c>
      <c r="V388" t="s">
        <v>43</v>
      </c>
      <c r="W388" t="s">
        <v>43</v>
      </c>
      <c r="X388" t="s">
        <v>43</v>
      </c>
      <c r="Y388" t="s">
        <v>43</v>
      </c>
      <c r="Z388" t="s">
        <v>43</v>
      </c>
      <c r="AA388" t="s">
        <v>43</v>
      </c>
      <c r="AB388" s="2" t="s">
        <v>43</v>
      </c>
      <c r="AC388" t="s">
        <v>64</v>
      </c>
      <c r="AD388" t="s">
        <v>46</v>
      </c>
      <c r="AE388" t="s">
        <v>46</v>
      </c>
      <c r="AF388" t="s">
        <v>46</v>
      </c>
      <c r="AG388" t="s">
        <v>64</v>
      </c>
      <c r="AH388" s="2" t="s">
        <v>43</v>
      </c>
    </row>
    <row r="389" spans="1:34" ht="45">
      <c r="A389" s="6" t="s">
        <v>1856</v>
      </c>
      <c r="B389" s="7">
        <v>46077</v>
      </c>
      <c r="C389" s="9" t="str">
        <f>HYPERLINK("https://eping.wto.org/en/Search?viewData= G/SPS/N/ARE/321, G/SPS/N/BHR/273, G/SPS/N/KWT/202, G/SPS/N/OMN/169, G/SPS/N/QAT/172, G/SPS/N/SAU/613, G/SPS/N/YEM/113"," G/SPS/N/ARE/321, G/SPS/N/BHR/273, G/SPS/N/KWT/202, G/SPS/N/OMN/169, G/SPS/N/QAT/172, G/SPS/N/SAU/613, G/SPS/N/YEM/113")</f>
        <v xml:space="preserve"> G/SPS/N/ARE/321, G/SPS/N/BHR/273, G/SPS/N/KWT/202, G/SPS/N/OMN/169, G/SPS/N/QAT/172, G/SPS/N/SAU/613, G/SPS/N/YEM/113</v>
      </c>
      <c r="D389" s="8" t="s">
        <v>1925</v>
      </c>
      <c r="E389" s="8" t="s">
        <v>1926</v>
      </c>
      <c r="F389" s="8" t="s">
        <v>1927</v>
      </c>
      <c r="G389" s="8" t="s">
        <v>43</v>
      </c>
      <c r="H389" s="8" t="s">
        <v>1803</v>
      </c>
      <c r="I389" s="8" t="s">
        <v>58</v>
      </c>
      <c r="J389" s="8" t="s">
        <v>43</v>
      </c>
      <c r="K389" s="8" t="s">
        <v>157</v>
      </c>
      <c r="L389" s="6" t="s">
        <v>43</v>
      </c>
      <c r="M389" s="7">
        <v>46137</v>
      </c>
      <c r="N389" s="7" t="s">
        <v>1928</v>
      </c>
      <c r="O389" s="7" t="s">
        <v>114</v>
      </c>
      <c r="P389" s="6" t="s">
        <v>62</v>
      </c>
      <c r="Q389" s="8" t="s">
        <v>1929</v>
      </c>
      <c r="R389" t="str">
        <f>HYPERLINK("https://docs.wto.org/imrd/directdoc.asp?DDFDocuments/t/G/SPS/NARE321.docx", "https://docs.wto.org/imrd/directdoc.asp?DDFDocuments/t/G/SPS/NARE321.docx")</f>
        <v>https://docs.wto.org/imrd/directdoc.asp?DDFDocuments/t/G/SPS/NARE321.docx</v>
      </c>
      <c r="S389" t="str">
        <f>HYPERLINK("https://docs.wto.org/imrd/directdoc.asp?DDFDocuments/u/G/SPS/NARE321.docx", "https://docs.wto.org/imrd/directdoc.asp?DDFDocuments/u/G/SPS/NARE321.docx")</f>
        <v>https://docs.wto.org/imrd/directdoc.asp?DDFDocuments/u/G/SPS/NARE321.docx</v>
      </c>
      <c r="T389" t="str">
        <f>HYPERLINK("https://docs.wto.org/imrd/directdoc.asp?DDFDocuments/v/G/SPS/NARE321.docx", "https://docs.wto.org/imrd/directdoc.asp?DDFDocuments/v/G/SPS/NARE321.docx")</f>
        <v>https://docs.wto.org/imrd/directdoc.asp?DDFDocuments/v/G/SPS/NARE321.docx</v>
      </c>
      <c r="U389" t="s">
        <v>43</v>
      </c>
      <c r="V389" t="s">
        <v>43</v>
      </c>
      <c r="W389" t="s">
        <v>43</v>
      </c>
      <c r="X389" t="s">
        <v>43</v>
      </c>
      <c r="Y389" t="s">
        <v>43</v>
      </c>
      <c r="Z389" t="s">
        <v>43</v>
      </c>
      <c r="AA389" t="s">
        <v>43</v>
      </c>
      <c r="AB389" s="2" t="s">
        <v>43</v>
      </c>
      <c r="AC389" t="s">
        <v>64</v>
      </c>
      <c r="AD389" t="s">
        <v>46</v>
      </c>
      <c r="AE389" t="s">
        <v>46</v>
      </c>
      <c r="AF389" t="s">
        <v>46</v>
      </c>
      <c r="AG389" t="s">
        <v>64</v>
      </c>
      <c r="AH389" s="2" t="s">
        <v>43</v>
      </c>
    </row>
    <row r="390" spans="1:34" ht="165">
      <c r="A390" s="6" t="s">
        <v>100</v>
      </c>
      <c r="B390" s="7">
        <v>46077</v>
      </c>
      <c r="C390" s="9" t="str">
        <f>HYPERLINK("https://eping.wto.org/en/Search?viewData= G/SPS/N/THA/778/Add.6"," G/SPS/N/THA/778/Add.6")</f>
        <v xml:space="preserve"> G/SPS/N/THA/778/Add.6</v>
      </c>
      <c r="D390" s="8" t="s">
        <v>1930</v>
      </c>
      <c r="E390" s="8" t="s">
        <v>1931</v>
      </c>
      <c r="F390" s="8" t="s">
        <v>1908</v>
      </c>
      <c r="G390" s="8" t="s">
        <v>1909</v>
      </c>
      <c r="H390" s="8" t="s">
        <v>43</v>
      </c>
      <c r="I390" s="8" t="s">
        <v>104</v>
      </c>
      <c r="J390" s="8" t="s">
        <v>43</v>
      </c>
      <c r="K390" s="8" t="s">
        <v>1932</v>
      </c>
      <c r="L390" s="6"/>
      <c r="M390" s="7" t="s">
        <v>43</v>
      </c>
      <c r="N390" s="7"/>
      <c r="O390" s="7"/>
      <c r="P390" s="6" t="s">
        <v>72</v>
      </c>
      <c r="Q390" s="8" t="s">
        <v>1933</v>
      </c>
      <c r="R390" t="str">
        <f>HYPERLINK("https://docs.wto.org/imrd/directdoc.asp?DDFDocuments/t/G/SPS/NTHA778A6.docx", "https://docs.wto.org/imrd/directdoc.asp?DDFDocuments/t/G/SPS/NTHA778A6.docx")</f>
        <v>https://docs.wto.org/imrd/directdoc.asp?DDFDocuments/t/G/SPS/NTHA778A6.docx</v>
      </c>
      <c r="S390" t="str">
        <f>HYPERLINK("https://docs.wto.org/imrd/directdoc.asp?DDFDocuments/u/G/SPS/NTHA778A6.docx", "https://docs.wto.org/imrd/directdoc.asp?DDFDocuments/u/G/SPS/NTHA778A6.docx")</f>
        <v>https://docs.wto.org/imrd/directdoc.asp?DDFDocuments/u/G/SPS/NTHA778A6.docx</v>
      </c>
      <c r="T390" t="str">
        <f>HYPERLINK("https://docs.wto.org/imrd/directdoc.asp?DDFDocuments/v/G/SPS/NTHA778A6.docx", "https://docs.wto.org/imrd/directdoc.asp?DDFDocuments/v/G/SPS/NTHA778A6.docx")</f>
        <v>https://docs.wto.org/imrd/directdoc.asp?DDFDocuments/v/G/SPS/NTHA778A6.docx</v>
      </c>
      <c r="U390" t="s">
        <v>43</v>
      </c>
      <c r="V390" t="s">
        <v>43</v>
      </c>
      <c r="W390" t="s">
        <v>43</v>
      </c>
      <c r="X390" t="s">
        <v>43</v>
      </c>
      <c r="Y390" t="s">
        <v>43</v>
      </c>
      <c r="Z390" t="s">
        <v>43</v>
      </c>
      <c r="AA390" t="s">
        <v>43</v>
      </c>
      <c r="AB390" s="2" t="s">
        <v>43</v>
      </c>
      <c r="AC390" t="s">
        <v>43</v>
      </c>
      <c r="AD390" t="s">
        <v>43</v>
      </c>
      <c r="AE390" t="s">
        <v>43</v>
      </c>
      <c r="AF390" t="s">
        <v>43</v>
      </c>
      <c r="AG390" t="s">
        <v>43</v>
      </c>
      <c r="AH390" s="2" t="s">
        <v>43</v>
      </c>
    </row>
    <row r="391" spans="1:34" ht="105">
      <c r="A391" s="6" t="s">
        <v>1934</v>
      </c>
      <c r="B391" s="7">
        <v>46077</v>
      </c>
      <c r="C391" s="9" t="str">
        <f>HYPERLINK("https://eping.wto.org/en/Search?viewData= G/SPS/N/BGD/13"," G/SPS/N/BGD/13")</f>
        <v xml:space="preserve"> G/SPS/N/BGD/13</v>
      </c>
      <c r="D391" s="8" t="s">
        <v>1935</v>
      </c>
      <c r="E391" s="8" t="s">
        <v>1936</v>
      </c>
      <c r="F391" s="8" t="s">
        <v>1937</v>
      </c>
      <c r="G391" s="8" t="s">
        <v>1938</v>
      </c>
      <c r="H391" s="8" t="s">
        <v>1939</v>
      </c>
      <c r="I391" s="8" t="s">
        <v>1090</v>
      </c>
      <c r="J391" s="8" t="s">
        <v>1940</v>
      </c>
      <c r="K391" s="8" t="s">
        <v>310</v>
      </c>
      <c r="L391" s="6" t="s">
        <v>43</v>
      </c>
      <c r="M391" s="7" t="s">
        <v>43</v>
      </c>
      <c r="N391" s="7"/>
      <c r="O391" s="7">
        <v>46137</v>
      </c>
      <c r="P391" s="6" t="s">
        <v>107</v>
      </c>
      <c r="Q391" s="8" t="s">
        <v>1941</v>
      </c>
      <c r="R391" t="str">
        <f>HYPERLINK("https://docs.wto.org/imrd/directdoc.asp?DDFDocuments/t/G/SPS/NBGD13.docx", "https://docs.wto.org/imrd/directdoc.asp?DDFDocuments/t/G/SPS/NBGD13.docx")</f>
        <v>https://docs.wto.org/imrd/directdoc.asp?DDFDocuments/t/G/SPS/NBGD13.docx</v>
      </c>
      <c r="S391" t="str">
        <f>HYPERLINK("https://docs.wto.org/imrd/directdoc.asp?DDFDocuments/u/G/SPS/NBGD13.docx", "https://docs.wto.org/imrd/directdoc.asp?DDFDocuments/u/G/SPS/NBGD13.docx")</f>
        <v>https://docs.wto.org/imrd/directdoc.asp?DDFDocuments/u/G/SPS/NBGD13.docx</v>
      </c>
      <c r="T391" t="str">
        <f>HYPERLINK("https://docs.wto.org/imrd/directdoc.asp?DDFDocuments/v/G/SPS/NBGD13.docx", "https://docs.wto.org/imrd/directdoc.asp?DDFDocuments/v/G/SPS/NBGD13.docx")</f>
        <v>https://docs.wto.org/imrd/directdoc.asp?DDFDocuments/v/G/SPS/NBGD13.docx</v>
      </c>
      <c r="U391" t="s">
        <v>43</v>
      </c>
      <c r="V391" t="s">
        <v>43</v>
      </c>
      <c r="W391" t="s">
        <v>43</v>
      </c>
      <c r="X391" t="s">
        <v>43</v>
      </c>
      <c r="Y391" t="s">
        <v>43</v>
      </c>
      <c r="Z391" t="s">
        <v>43</v>
      </c>
      <c r="AA391" t="s">
        <v>43</v>
      </c>
      <c r="AB391" s="2" t="s">
        <v>43</v>
      </c>
      <c r="AC391" t="s">
        <v>64</v>
      </c>
      <c r="AD391" t="s">
        <v>46</v>
      </c>
      <c r="AE391" t="s">
        <v>46</v>
      </c>
      <c r="AF391" t="s">
        <v>46</v>
      </c>
      <c r="AG391" t="s">
        <v>46</v>
      </c>
      <c r="AH391" s="2" t="s">
        <v>1942</v>
      </c>
    </row>
    <row r="392" spans="1:34" ht="60">
      <c r="A392" s="6" t="s">
        <v>158</v>
      </c>
      <c r="B392" s="7">
        <v>46077</v>
      </c>
      <c r="C392" s="9" t="str">
        <f>HYPERLINK("https://eping.wto.org/en/Search?viewData= G/SPS/N/UKR/256/Add.1"," G/SPS/N/UKR/256/Add.1")</f>
        <v xml:space="preserve"> G/SPS/N/UKR/256/Add.1</v>
      </c>
      <c r="D392" s="8" t="s">
        <v>1943</v>
      </c>
      <c r="E392" s="8" t="s">
        <v>1944</v>
      </c>
      <c r="F392" s="8" t="s">
        <v>1843</v>
      </c>
      <c r="G392" s="8" t="s">
        <v>43</v>
      </c>
      <c r="H392" s="8" t="s">
        <v>43</v>
      </c>
      <c r="I392" s="8" t="s">
        <v>58</v>
      </c>
      <c r="J392" s="8" t="s">
        <v>43</v>
      </c>
      <c r="K392" s="8" t="s">
        <v>1945</v>
      </c>
      <c r="L392" s="6"/>
      <c r="M392" s="7" t="s">
        <v>43</v>
      </c>
      <c r="N392" s="7"/>
      <c r="O392" s="7"/>
      <c r="P392" s="6" t="s">
        <v>44</v>
      </c>
      <c r="Q392" s="8" t="s">
        <v>1946</v>
      </c>
      <c r="R392" t="str">
        <f>HYPERLINK("https://docs.wto.org/imrd/directdoc.asp?DDFDocuments/t/G/SPS/NUKR256A1.docx", "https://docs.wto.org/imrd/directdoc.asp?DDFDocuments/t/G/SPS/NUKR256A1.docx")</f>
        <v>https://docs.wto.org/imrd/directdoc.asp?DDFDocuments/t/G/SPS/NUKR256A1.docx</v>
      </c>
      <c r="S392" t="str">
        <f>HYPERLINK("https://docs.wto.org/imrd/directdoc.asp?DDFDocuments/u/G/SPS/NUKR256A1.docx", "https://docs.wto.org/imrd/directdoc.asp?DDFDocuments/u/G/SPS/NUKR256A1.docx")</f>
        <v>https://docs.wto.org/imrd/directdoc.asp?DDFDocuments/u/G/SPS/NUKR256A1.docx</v>
      </c>
      <c r="T392" t="str">
        <f>HYPERLINK("https://docs.wto.org/imrd/directdoc.asp?DDFDocuments/v/G/SPS/NUKR256A1.docx", "https://docs.wto.org/imrd/directdoc.asp?DDFDocuments/v/G/SPS/NUKR256A1.docx")</f>
        <v>https://docs.wto.org/imrd/directdoc.asp?DDFDocuments/v/G/SPS/NUKR256A1.docx</v>
      </c>
      <c r="U392" t="s">
        <v>43</v>
      </c>
      <c r="V392" t="s">
        <v>43</v>
      </c>
      <c r="W392" t="s">
        <v>43</v>
      </c>
      <c r="X392" t="s">
        <v>43</v>
      </c>
      <c r="Y392" t="s">
        <v>43</v>
      </c>
      <c r="Z392" t="s">
        <v>43</v>
      </c>
      <c r="AA392" t="s">
        <v>43</v>
      </c>
      <c r="AB392" s="2" t="s">
        <v>43</v>
      </c>
      <c r="AC392" t="s">
        <v>43</v>
      </c>
      <c r="AD392" t="s">
        <v>43</v>
      </c>
      <c r="AE392" t="s">
        <v>43</v>
      </c>
      <c r="AF392" t="s">
        <v>43</v>
      </c>
      <c r="AG392" t="s">
        <v>43</v>
      </c>
      <c r="AH392" s="2" t="s">
        <v>43</v>
      </c>
    </row>
    <row r="393" spans="1:34" ht="90">
      <c r="A393" s="6" t="s">
        <v>356</v>
      </c>
      <c r="B393" s="7">
        <v>46077</v>
      </c>
      <c r="C393" s="9" t="str">
        <f>HYPERLINK("https://eping.wto.org/en/Search?viewData= G/SPS/N/EU/891/Add.1"," G/SPS/N/EU/891/Add.1")</f>
        <v xml:space="preserve"> G/SPS/N/EU/891/Add.1</v>
      </c>
      <c r="D393" s="8" t="s">
        <v>1947</v>
      </c>
      <c r="E393" s="8" t="s">
        <v>1948</v>
      </c>
      <c r="F393" s="8" t="s">
        <v>1949</v>
      </c>
      <c r="G393" s="8" t="s">
        <v>43</v>
      </c>
      <c r="H393" s="8" t="s">
        <v>43</v>
      </c>
      <c r="I393" s="8" t="s">
        <v>58</v>
      </c>
      <c r="J393" s="8" t="s">
        <v>43</v>
      </c>
      <c r="K393" s="8" t="s">
        <v>1950</v>
      </c>
      <c r="L393" s="6"/>
      <c r="M393" s="7" t="s">
        <v>43</v>
      </c>
      <c r="N393" s="7"/>
      <c r="O393" s="7"/>
      <c r="P393" s="6" t="s">
        <v>44</v>
      </c>
      <c r="Q393" s="8" t="s">
        <v>1951</v>
      </c>
      <c r="R393" t="str">
        <f>HYPERLINK("https://docs.wto.org/imrd/directdoc.asp?DDFDocuments/t/G/SPS/NEU891A1.docx", "https://docs.wto.org/imrd/directdoc.asp?DDFDocuments/t/G/SPS/NEU891A1.docx")</f>
        <v>https://docs.wto.org/imrd/directdoc.asp?DDFDocuments/t/G/SPS/NEU891A1.docx</v>
      </c>
      <c r="S393" t="str">
        <f>HYPERLINK("https://docs.wto.org/imrd/directdoc.asp?DDFDocuments/u/G/SPS/NEU891A1.docx", "https://docs.wto.org/imrd/directdoc.asp?DDFDocuments/u/G/SPS/NEU891A1.docx")</f>
        <v>https://docs.wto.org/imrd/directdoc.asp?DDFDocuments/u/G/SPS/NEU891A1.docx</v>
      </c>
      <c r="T393" t="str">
        <f>HYPERLINK("https://docs.wto.org/imrd/directdoc.asp?DDFDocuments/v/G/SPS/NEU891A1.docx", "https://docs.wto.org/imrd/directdoc.asp?DDFDocuments/v/G/SPS/NEU891A1.docx")</f>
        <v>https://docs.wto.org/imrd/directdoc.asp?DDFDocuments/v/G/SPS/NEU891A1.docx</v>
      </c>
      <c r="U393" t="s">
        <v>43</v>
      </c>
      <c r="V393" t="s">
        <v>43</v>
      </c>
      <c r="W393" t="s">
        <v>43</v>
      </c>
      <c r="X393" t="s">
        <v>43</v>
      </c>
      <c r="Y393" t="s">
        <v>43</v>
      </c>
      <c r="Z393" t="s">
        <v>43</v>
      </c>
      <c r="AA393" t="s">
        <v>43</v>
      </c>
      <c r="AB393" s="2" t="s">
        <v>43</v>
      </c>
      <c r="AC393" t="s">
        <v>43</v>
      </c>
      <c r="AD393" t="s">
        <v>43</v>
      </c>
      <c r="AE393" t="s">
        <v>43</v>
      </c>
      <c r="AF393" t="s">
        <v>43</v>
      </c>
      <c r="AG393" t="s">
        <v>43</v>
      </c>
      <c r="AH393" s="2" t="s">
        <v>43</v>
      </c>
    </row>
    <row r="394" spans="1:34" ht="120">
      <c r="A394" s="6" t="s">
        <v>338</v>
      </c>
      <c r="B394" s="7">
        <v>46077</v>
      </c>
      <c r="C394" s="9" t="str">
        <f>HYPERLINK("https://eping.wto.org/en/Search?viewData= G/SPS/N/SAU/601/Add.1"," G/SPS/N/SAU/601/Add.1")</f>
        <v xml:space="preserve"> G/SPS/N/SAU/601/Add.1</v>
      </c>
      <c r="D394" s="8" t="s">
        <v>1952</v>
      </c>
      <c r="E394" s="8" t="s">
        <v>1953</v>
      </c>
      <c r="F394" s="8" t="s">
        <v>1682</v>
      </c>
      <c r="G394" s="8" t="s">
        <v>43</v>
      </c>
      <c r="H394" s="8" t="s">
        <v>43</v>
      </c>
      <c r="I394" s="8" t="s">
        <v>361</v>
      </c>
      <c r="J394" s="8" t="s">
        <v>43</v>
      </c>
      <c r="K394" s="8" t="s">
        <v>1954</v>
      </c>
      <c r="L394" s="6"/>
      <c r="M394" s="7" t="s">
        <v>43</v>
      </c>
      <c r="N394" s="7"/>
      <c r="O394" s="7"/>
      <c r="P394" s="6" t="s">
        <v>72</v>
      </c>
      <c r="Q394" s="8" t="s">
        <v>1955</v>
      </c>
      <c r="R394" t="str">
        <f>HYPERLINK("https://docs.wto.org/imrd/directdoc.asp?DDFDocuments/t/G/SPS/NSAU601A1.docx", "https://docs.wto.org/imrd/directdoc.asp?DDFDocuments/t/G/SPS/NSAU601A1.docx")</f>
        <v>https://docs.wto.org/imrd/directdoc.asp?DDFDocuments/t/G/SPS/NSAU601A1.docx</v>
      </c>
      <c r="S394" t="str">
        <f>HYPERLINK("https://docs.wto.org/imrd/directdoc.asp?DDFDocuments/u/G/SPS/NSAU601A1.docx", "https://docs.wto.org/imrd/directdoc.asp?DDFDocuments/u/G/SPS/NSAU601A1.docx")</f>
        <v>https://docs.wto.org/imrd/directdoc.asp?DDFDocuments/u/G/SPS/NSAU601A1.docx</v>
      </c>
      <c r="T394" t="str">
        <f>HYPERLINK("https://docs.wto.org/imrd/directdoc.asp?DDFDocuments/v/G/SPS/NSAU601A1.docx", "https://docs.wto.org/imrd/directdoc.asp?DDFDocuments/v/G/SPS/NSAU601A1.docx")</f>
        <v>https://docs.wto.org/imrd/directdoc.asp?DDFDocuments/v/G/SPS/NSAU601A1.docx</v>
      </c>
      <c r="U394" t="s">
        <v>43</v>
      </c>
      <c r="V394" t="s">
        <v>43</v>
      </c>
      <c r="W394" t="s">
        <v>43</v>
      </c>
      <c r="X394" t="s">
        <v>43</v>
      </c>
      <c r="Y394" t="s">
        <v>43</v>
      </c>
      <c r="Z394" t="s">
        <v>43</v>
      </c>
      <c r="AA394" t="s">
        <v>43</v>
      </c>
      <c r="AB394" s="2" t="s">
        <v>43</v>
      </c>
      <c r="AC394" t="s">
        <v>43</v>
      </c>
      <c r="AD394" t="s">
        <v>43</v>
      </c>
      <c r="AE394" t="s">
        <v>43</v>
      </c>
      <c r="AF394" t="s">
        <v>43</v>
      </c>
      <c r="AG394" t="s">
        <v>43</v>
      </c>
      <c r="AH394" s="2" t="s">
        <v>43</v>
      </c>
    </row>
    <row r="395" spans="1:34" ht="60">
      <c r="A395" s="6" t="s">
        <v>862</v>
      </c>
      <c r="B395" s="7">
        <v>46077</v>
      </c>
      <c r="C395" s="9" t="str">
        <f>HYPERLINK("https://eping.wto.org/en/Search?viewData= G/SPS/N/CHE/87/Add.5"," G/SPS/N/CHE/87/Add.5")</f>
        <v xml:space="preserve"> G/SPS/N/CHE/87/Add.5</v>
      </c>
      <c r="D395" s="8" t="s">
        <v>1956</v>
      </c>
      <c r="E395" s="8" t="s">
        <v>1957</v>
      </c>
      <c r="F395" s="8" t="s">
        <v>1958</v>
      </c>
      <c r="G395" s="8" t="s">
        <v>360</v>
      </c>
      <c r="H395" s="8" t="s">
        <v>1959</v>
      </c>
      <c r="I395" s="8" t="s">
        <v>361</v>
      </c>
      <c r="J395" s="8" t="s">
        <v>43</v>
      </c>
      <c r="K395" s="8" t="s">
        <v>1960</v>
      </c>
      <c r="L395" s="6"/>
      <c r="M395" s="7">
        <v>46137</v>
      </c>
      <c r="N395" s="7"/>
      <c r="O395" s="7"/>
      <c r="P395" s="6" t="s">
        <v>44</v>
      </c>
      <c r="Q395" s="8" t="s">
        <v>1961</v>
      </c>
      <c r="R395" t="str">
        <f>HYPERLINK("https://docs.wto.org/imrd/directdoc.asp?DDFDocuments/t/G/SPS/NCHE87A5.docx", "https://docs.wto.org/imrd/directdoc.asp?DDFDocuments/t/G/SPS/NCHE87A5.docx")</f>
        <v>https://docs.wto.org/imrd/directdoc.asp?DDFDocuments/t/G/SPS/NCHE87A5.docx</v>
      </c>
      <c r="S395" t="str">
        <f>HYPERLINK("https://docs.wto.org/imrd/directdoc.asp?DDFDocuments/u/G/SPS/NCHE87A5.docx", "https://docs.wto.org/imrd/directdoc.asp?DDFDocuments/u/G/SPS/NCHE87A5.docx")</f>
        <v>https://docs.wto.org/imrd/directdoc.asp?DDFDocuments/u/G/SPS/NCHE87A5.docx</v>
      </c>
      <c r="T395" t="str">
        <f>HYPERLINK("https://docs.wto.org/imrd/directdoc.asp?DDFDocuments/v/G/SPS/NCHE87A5.docx", "https://docs.wto.org/imrd/directdoc.asp?DDFDocuments/v/G/SPS/NCHE87A5.docx")</f>
        <v>https://docs.wto.org/imrd/directdoc.asp?DDFDocuments/v/G/SPS/NCHE87A5.docx</v>
      </c>
      <c r="U395" t="s">
        <v>43</v>
      </c>
      <c r="V395" t="s">
        <v>43</v>
      </c>
      <c r="W395" t="s">
        <v>43</v>
      </c>
      <c r="X395" t="s">
        <v>43</v>
      </c>
      <c r="Y395" t="s">
        <v>43</v>
      </c>
      <c r="Z395" t="s">
        <v>43</v>
      </c>
      <c r="AA395" t="s">
        <v>43</v>
      </c>
      <c r="AB395" s="2" t="s">
        <v>43</v>
      </c>
      <c r="AC395" t="s">
        <v>43</v>
      </c>
      <c r="AD395" t="s">
        <v>43</v>
      </c>
      <c r="AE395" t="s">
        <v>43</v>
      </c>
      <c r="AF395" t="s">
        <v>43</v>
      </c>
      <c r="AG395" t="s">
        <v>43</v>
      </c>
      <c r="AH395" s="2" t="s">
        <v>43</v>
      </c>
    </row>
    <row r="396" spans="1:34" ht="165">
      <c r="A396" s="6" t="s">
        <v>100</v>
      </c>
      <c r="B396" s="7">
        <v>46077</v>
      </c>
      <c r="C396" s="9" t="str">
        <f>HYPERLINK("https://eping.wto.org/en/Search?viewData= G/SPS/N/THA/799/Add.1"," G/SPS/N/THA/799/Add.1")</f>
        <v xml:space="preserve"> G/SPS/N/THA/799/Add.1</v>
      </c>
      <c r="D396" s="8" t="s">
        <v>1962</v>
      </c>
      <c r="E396" s="8" t="s">
        <v>1963</v>
      </c>
      <c r="F396" s="8" t="s">
        <v>1908</v>
      </c>
      <c r="G396" s="8" t="s">
        <v>1909</v>
      </c>
      <c r="H396" s="8" t="s">
        <v>43</v>
      </c>
      <c r="I396" s="8" t="s">
        <v>104</v>
      </c>
      <c r="J396" s="8" t="s">
        <v>43</v>
      </c>
      <c r="K396" s="8" t="s">
        <v>1964</v>
      </c>
      <c r="L396" s="6"/>
      <c r="M396" s="7" t="s">
        <v>43</v>
      </c>
      <c r="N396" s="7"/>
      <c r="O396" s="7"/>
      <c r="P396" s="6" t="s">
        <v>72</v>
      </c>
      <c r="Q396" s="8" t="s">
        <v>1965</v>
      </c>
      <c r="R396" t="str">
        <f>HYPERLINK("https://docs.wto.org/imrd/directdoc.asp?DDFDocuments/t/G/SPS/NTHA799A1.docx", "https://docs.wto.org/imrd/directdoc.asp?DDFDocuments/t/G/SPS/NTHA799A1.docx")</f>
        <v>https://docs.wto.org/imrd/directdoc.asp?DDFDocuments/t/G/SPS/NTHA799A1.docx</v>
      </c>
      <c r="S396" t="str">
        <f>HYPERLINK("https://docs.wto.org/imrd/directdoc.asp?DDFDocuments/u/G/SPS/NTHA799A1.docx", "https://docs.wto.org/imrd/directdoc.asp?DDFDocuments/u/G/SPS/NTHA799A1.docx")</f>
        <v>https://docs.wto.org/imrd/directdoc.asp?DDFDocuments/u/G/SPS/NTHA799A1.docx</v>
      </c>
      <c r="T396" t="str">
        <f>HYPERLINK("https://docs.wto.org/imrd/directdoc.asp?DDFDocuments/v/G/SPS/NTHA799A1.docx", "https://docs.wto.org/imrd/directdoc.asp?DDFDocuments/v/G/SPS/NTHA799A1.docx")</f>
        <v>https://docs.wto.org/imrd/directdoc.asp?DDFDocuments/v/G/SPS/NTHA799A1.docx</v>
      </c>
      <c r="U396" t="s">
        <v>43</v>
      </c>
      <c r="V396" t="s">
        <v>43</v>
      </c>
      <c r="W396" t="s">
        <v>43</v>
      </c>
      <c r="X396" t="s">
        <v>43</v>
      </c>
      <c r="Y396" t="s">
        <v>43</v>
      </c>
      <c r="Z396" t="s">
        <v>43</v>
      </c>
      <c r="AA396" t="s">
        <v>43</v>
      </c>
      <c r="AB396" s="2" t="s">
        <v>43</v>
      </c>
      <c r="AC396" t="s">
        <v>43</v>
      </c>
      <c r="AD396" t="s">
        <v>43</v>
      </c>
      <c r="AE396" t="s">
        <v>43</v>
      </c>
      <c r="AF396" t="s">
        <v>43</v>
      </c>
      <c r="AG396" t="s">
        <v>43</v>
      </c>
      <c r="AH396" s="2" t="s">
        <v>43</v>
      </c>
    </row>
    <row r="397" spans="1:34" ht="165">
      <c r="A397" s="6" t="s">
        <v>356</v>
      </c>
      <c r="B397" s="7">
        <v>46077</v>
      </c>
      <c r="C397" s="9" t="str">
        <f>HYPERLINK("https://eping.wto.org/en/Search?viewData= G/SPS/N/EU/921"," G/SPS/N/EU/921")</f>
        <v xml:space="preserve"> G/SPS/N/EU/921</v>
      </c>
      <c r="D397" s="8" t="s">
        <v>1966</v>
      </c>
      <c r="E397" s="8" t="s">
        <v>1967</v>
      </c>
      <c r="F397" s="8" t="s">
        <v>359</v>
      </c>
      <c r="G397" s="8" t="s">
        <v>156</v>
      </c>
      <c r="H397" s="8" t="s">
        <v>43</v>
      </c>
      <c r="I397" s="8" t="s">
        <v>361</v>
      </c>
      <c r="J397" s="8" t="s">
        <v>43</v>
      </c>
      <c r="K397" s="8" t="s">
        <v>1183</v>
      </c>
      <c r="L397" s="6"/>
      <c r="M397" s="7">
        <v>46137</v>
      </c>
      <c r="N397" s="7" t="s">
        <v>1576</v>
      </c>
      <c r="O397" s="7" t="s">
        <v>1184</v>
      </c>
      <c r="P397" s="6" t="s">
        <v>62</v>
      </c>
      <c r="Q397" s="8" t="s">
        <v>1968</v>
      </c>
      <c r="R397" t="str">
        <f>HYPERLINK("https://docs.wto.org/imrd/directdoc.asp?DDFDocuments/t/G/SPS/NEU921.docx", "https://docs.wto.org/imrd/directdoc.asp?DDFDocuments/t/G/SPS/NEU921.docx")</f>
        <v>https://docs.wto.org/imrd/directdoc.asp?DDFDocuments/t/G/SPS/NEU921.docx</v>
      </c>
      <c r="S397" t="str">
        <f>HYPERLINK("https://docs.wto.org/imrd/directdoc.asp?DDFDocuments/u/G/SPS/NEU921.docx", "https://docs.wto.org/imrd/directdoc.asp?DDFDocuments/u/G/SPS/NEU921.docx")</f>
        <v>https://docs.wto.org/imrd/directdoc.asp?DDFDocuments/u/G/SPS/NEU921.docx</v>
      </c>
      <c r="T397" t="str">
        <f>HYPERLINK("https://docs.wto.org/imrd/directdoc.asp?DDFDocuments/v/G/SPS/NEU921.docx", "https://docs.wto.org/imrd/directdoc.asp?DDFDocuments/v/G/SPS/NEU921.docx")</f>
        <v>https://docs.wto.org/imrd/directdoc.asp?DDFDocuments/v/G/SPS/NEU921.docx</v>
      </c>
      <c r="U397" t="s">
        <v>43</v>
      </c>
      <c r="V397" t="s">
        <v>43</v>
      </c>
      <c r="W397" t="s">
        <v>43</v>
      </c>
      <c r="X397" t="s">
        <v>43</v>
      </c>
      <c r="Y397" t="s">
        <v>43</v>
      </c>
      <c r="Z397" t="s">
        <v>43</v>
      </c>
      <c r="AA397" t="s">
        <v>43</v>
      </c>
      <c r="AB397" s="2" t="s">
        <v>43</v>
      </c>
      <c r="AC397" t="s">
        <v>64</v>
      </c>
      <c r="AD397" t="s">
        <v>46</v>
      </c>
      <c r="AE397" t="s">
        <v>46</v>
      </c>
      <c r="AF397" t="s">
        <v>46</v>
      </c>
      <c r="AG397" t="s">
        <v>64</v>
      </c>
      <c r="AH397" s="2" t="s">
        <v>43</v>
      </c>
    </row>
    <row r="398" spans="1:34" ht="60">
      <c r="A398" s="6" t="s">
        <v>289</v>
      </c>
      <c r="B398" s="7">
        <v>46077</v>
      </c>
      <c r="C398" s="9" t="str">
        <f>HYPERLINK("https://eping.wto.org/en/Search?viewData= G/SPS/N/BRA/2307/Add.2"," G/SPS/N/BRA/2307/Add.2")</f>
        <v xml:space="preserve"> G/SPS/N/BRA/2307/Add.2</v>
      </c>
      <c r="D398" s="8" t="s">
        <v>1969</v>
      </c>
      <c r="E398" s="8" t="s">
        <v>1970</v>
      </c>
      <c r="F398" s="8" t="s">
        <v>1488</v>
      </c>
      <c r="G398" s="8" t="s">
        <v>360</v>
      </c>
      <c r="H398" s="8" t="s">
        <v>43</v>
      </c>
      <c r="I398" s="8" t="s">
        <v>529</v>
      </c>
      <c r="J398" s="8" t="s">
        <v>43</v>
      </c>
      <c r="K398" s="8" t="s">
        <v>1971</v>
      </c>
      <c r="L398" s="6"/>
      <c r="M398" s="7" t="s">
        <v>43</v>
      </c>
      <c r="N398" s="7"/>
      <c r="O398" s="7"/>
      <c r="P398" s="6" t="s">
        <v>44</v>
      </c>
      <c r="Q398" s="8" t="s">
        <v>1972</v>
      </c>
      <c r="R398" t="str">
        <f>HYPERLINK("https://docs.wto.org/imrd/directdoc.asp?DDFDocuments/t/G/SPS/NBRA2307A2.docx", "https://docs.wto.org/imrd/directdoc.asp?DDFDocuments/t/G/SPS/NBRA2307A2.docx")</f>
        <v>https://docs.wto.org/imrd/directdoc.asp?DDFDocuments/t/G/SPS/NBRA2307A2.docx</v>
      </c>
      <c r="S398" t="str">
        <f>HYPERLINK("https://docs.wto.org/imrd/directdoc.asp?DDFDocuments/u/G/SPS/NBRA2307A2.docx", "https://docs.wto.org/imrd/directdoc.asp?DDFDocuments/u/G/SPS/NBRA2307A2.docx")</f>
        <v>https://docs.wto.org/imrd/directdoc.asp?DDFDocuments/u/G/SPS/NBRA2307A2.docx</v>
      </c>
      <c r="T398" t="str">
        <f>HYPERLINK("https://docs.wto.org/imrd/directdoc.asp?DDFDocuments/v/G/SPS/NBRA2307A2.docx", "https://docs.wto.org/imrd/directdoc.asp?DDFDocuments/v/G/SPS/NBRA2307A2.docx")</f>
        <v>https://docs.wto.org/imrd/directdoc.asp?DDFDocuments/v/G/SPS/NBRA2307A2.docx</v>
      </c>
      <c r="U398" t="s">
        <v>43</v>
      </c>
      <c r="V398" t="s">
        <v>43</v>
      </c>
      <c r="W398" t="s">
        <v>43</v>
      </c>
      <c r="X398" t="s">
        <v>43</v>
      </c>
      <c r="Y398" t="s">
        <v>43</v>
      </c>
      <c r="Z398" t="s">
        <v>43</v>
      </c>
      <c r="AA398" t="s">
        <v>43</v>
      </c>
      <c r="AB398" s="2" t="s">
        <v>43</v>
      </c>
      <c r="AC398" t="s">
        <v>43</v>
      </c>
      <c r="AD398" t="s">
        <v>43</v>
      </c>
      <c r="AE398" t="s">
        <v>43</v>
      </c>
      <c r="AF398" t="s">
        <v>43</v>
      </c>
      <c r="AG398" t="s">
        <v>43</v>
      </c>
      <c r="AH398" s="2" t="s">
        <v>43</v>
      </c>
    </row>
    <row r="399" spans="1:34" ht="135">
      <c r="A399" s="6" t="s">
        <v>1814</v>
      </c>
      <c r="B399" s="7">
        <v>46077</v>
      </c>
      <c r="C399" s="9" t="str">
        <f>HYPERLINK("https://eping.wto.org/en/Search?viewData= G/TBT/N/GBR/114"," G/TBT/N/GBR/114")</f>
        <v xml:space="preserve"> G/TBT/N/GBR/114</v>
      </c>
      <c r="D399" s="8" t="s">
        <v>1973</v>
      </c>
      <c r="E399" s="8" t="s">
        <v>1974</v>
      </c>
      <c r="F399" s="8" t="s">
        <v>1975</v>
      </c>
      <c r="G399" s="8" t="s">
        <v>43</v>
      </c>
      <c r="H399" s="8" t="s">
        <v>1976</v>
      </c>
      <c r="I399" s="8" t="s">
        <v>1977</v>
      </c>
      <c r="J399" s="8" t="s">
        <v>1978</v>
      </c>
      <c r="K399" s="8" t="s">
        <v>43</v>
      </c>
      <c r="L399" s="6"/>
      <c r="M399" s="7">
        <v>46137</v>
      </c>
      <c r="N399" s="7">
        <v>46174</v>
      </c>
      <c r="O399" s="7">
        <v>46401</v>
      </c>
      <c r="P399" s="6" t="s">
        <v>62</v>
      </c>
      <c r="Q399" s="8" t="s">
        <v>1979</v>
      </c>
      <c r="R399" t="str">
        <f>HYPERLINK("https://docs.wto.org/imrd/directdoc.asp?DDFDocuments/t/G/TBTN26/GBR114.docx", "https://docs.wto.org/imrd/directdoc.asp?DDFDocuments/t/G/TBTN26/GBR114.docx")</f>
        <v>https://docs.wto.org/imrd/directdoc.asp?DDFDocuments/t/G/TBTN26/GBR114.docx</v>
      </c>
      <c r="S399" t="str">
        <f>HYPERLINK("https://docs.wto.org/imrd/directdoc.asp?DDFDocuments/u/G/TBTN26/GBR114.docx", "https://docs.wto.org/imrd/directdoc.asp?DDFDocuments/u/G/TBTN26/GBR114.docx")</f>
        <v>https://docs.wto.org/imrd/directdoc.asp?DDFDocuments/u/G/TBTN26/GBR114.docx</v>
      </c>
      <c r="T399" t="str">
        <f>HYPERLINK("https://docs.wto.org/imrd/directdoc.asp?DDFDocuments/v/G/TBTN26/GBR114.docx", "https://docs.wto.org/imrd/directdoc.asp?DDFDocuments/v/G/TBTN26/GBR114.docx")</f>
        <v>https://docs.wto.org/imrd/directdoc.asp?DDFDocuments/v/G/TBTN26/GBR114.docx</v>
      </c>
      <c r="U399" t="s">
        <v>64</v>
      </c>
      <c r="V399" t="s">
        <v>46</v>
      </c>
      <c r="W399" t="s">
        <v>64</v>
      </c>
      <c r="X399" t="s">
        <v>46</v>
      </c>
      <c r="Y399" t="s">
        <v>46</v>
      </c>
      <c r="Z399" t="s">
        <v>46</v>
      </c>
      <c r="AA399" t="s">
        <v>46</v>
      </c>
      <c r="AB399" s="2" t="s">
        <v>1980</v>
      </c>
      <c r="AC399" t="s">
        <v>43</v>
      </c>
      <c r="AD399" t="s">
        <v>43</v>
      </c>
      <c r="AE399" t="s">
        <v>43</v>
      </c>
      <c r="AF399" t="s">
        <v>43</v>
      </c>
      <c r="AG399" t="s">
        <v>43</v>
      </c>
      <c r="AH399" s="2" t="s">
        <v>43</v>
      </c>
    </row>
    <row r="400" spans="1:34" ht="60">
      <c r="A400" s="6" t="s">
        <v>1934</v>
      </c>
      <c r="B400" s="7">
        <v>46077</v>
      </c>
      <c r="C400" s="9" t="str">
        <f>HYPERLINK("https://eping.wto.org/en/Search?viewData= G/SPS/N/BGD/14"," G/SPS/N/BGD/14")</f>
        <v xml:space="preserve"> G/SPS/N/BGD/14</v>
      </c>
      <c r="D400" s="8" t="s">
        <v>1981</v>
      </c>
      <c r="E400" s="8" t="s">
        <v>1982</v>
      </c>
      <c r="F400" s="8" t="s">
        <v>1983</v>
      </c>
      <c r="G400" s="8" t="s">
        <v>1984</v>
      </c>
      <c r="H400" s="8" t="s">
        <v>1985</v>
      </c>
      <c r="I400" s="8" t="s">
        <v>58</v>
      </c>
      <c r="J400" s="8" t="s">
        <v>1986</v>
      </c>
      <c r="K400" s="8" t="s">
        <v>157</v>
      </c>
      <c r="L400" s="6" t="s">
        <v>43</v>
      </c>
      <c r="M400" s="7" t="s">
        <v>43</v>
      </c>
      <c r="N400" s="7"/>
      <c r="O400" s="7">
        <v>46137</v>
      </c>
      <c r="P400" s="6" t="s">
        <v>107</v>
      </c>
      <c r="Q400" s="8" t="s">
        <v>1987</v>
      </c>
      <c r="R400" t="str">
        <f>HYPERLINK("https://docs.wto.org/imrd/directdoc.asp?DDFDocuments/t/G/SPS/NBGD14.docx", "https://docs.wto.org/imrd/directdoc.asp?DDFDocuments/t/G/SPS/NBGD14.docx")</f>
        <v>https://docs.wto.org/imrd/directdoc.asp?DDFDocuments/t/G/SPS/NBGD14.docx</v>
      </c>
      <c r="S400" t="str">
        <f>HYPERLINK("https://docs.wto.org/imrd/directdoc.asp?DDFDocuments/u/G/SPS/NBGD14.docx", "https://docs.wto.org/imrd/directdoc.asp?DDFDocuments/u/G/SPS/NBGD14.docx")</f>
        <v>https://docs.wto.org/imrd/directdoc.asp?DDFDocuments/u/G/SPS/NBGD14.docx</v>
      </c>
      <c r="T400" t="str">
        <f>HYPERLINK("https://docs.wto.org/imrd/directdoc.asp?DDFDocuments/v/G/SPS/NBGD14.docx", "https://docs.wto.org/imrd/directdoc.asp?DDFDocuments/v/G/SPS/NBGD14.docx")</f>
        <v>https://docs.wto.org/imrd/directdoc.asp?DDFDocuments/v/G/SPS/NBGD14.docx</v>
      </c>
      <c r="U400" t="s">
        <v>43</v>
      </c>
      <c r="V400" t="s">
        <v>43</v>
      </c>
      <c r="W400" t="s">
        <v>43</v>
      </c>
      <c r="X400" t="s">
        <v>43</v>
      </c>
      <c r="Y400" t="s">
        <v>43</v>
      </c>
      <c r="Z400" t="s">
        <v>43</v>
      </c>
      <c r="AA400" t="s">
        <v>43</v>
      </c>
      <c r="AB400" s="2" t="s">
        <v>43</v>
      </c>
      <c r="AC400" t="s">
        <v>46</v>
      </c>
      <c r="AD400" t="s">
        <v>46</v>
      </c>
      <c r="AE400" t="s">
        <v>46</v>
      </c>
      <c r="AF400" t="s">
        <v>64</v>
      </c>
      <c r="AG400" t="s">
        <v>99</v>
      </c>
      <c r="AH400" s="2" t="s">
        <v>43</v>
      </c>
    </row>
    <row r="401" spans="1:34" ht="30">
      <c r="A401" s="6" t="s">
        <v>289</v>
      </c>
      <c r="B401" s="7">
        <v>46077</v>
      </c>
      <c r="C401" s="9" t="str">
        <f>HYPERLINK("https://eping.wto.org/en/Search?viewData= G/SPS/N/BRA/2472"," G/SPS/N/BRA/2472")</f>
        <v xml:space="preserve"> G/SPS/N/BRA/2472</v>
      </c>
      <c r="D401" s="8" t="s">
        <v>1988</v>
      </c>
      <c r="E401" s="8" t="s">
        <v>1989</v>
      </c>
      <c r="F401" s="8" t="s">
        <v>1990</v>
      </c>
      <c r="G401" s="8" t="s">
        <v>1991</v>
      </c>
      <c r="H401" s="8" t="s">
        <v>43</v>
      </c>
      <c r="I401" s="8" t="s">
        <v>94</v>
      </c>
      <c r="J401" s="8" t="s">
        <v>43</v>
      </c>
      <c r="K401" s="8" t="s">
        <v>1706</v>
      </c>
      <c r="L401" s="6" t="s">
        <v>1992</v>
      </c>
      <c r="M401" s="7">
        <v>46137</v>
      </c>
      <c r="N401" s="7" t="s">
        <v>304</v>
      </c>
      <c r="O401" s="7" t="s">
        <v>304</v>
      </c>
      <c r="P401" s="6" t="s">
        <v>62</v>
      </c>
      <c r="Q401" s="8" t="s">
        <v>1993</v>
      </c>
      <c r="R401" t="str">
        <f>HYPERLINK("https://docs.wto.org/imrd/directdoc.asp?DDFDocuments/t/G/SPS/NBRA2472.docx", "https://docs.wto.org/imrd/directdoc.asp?DDFDocuments/t/G/SPS/NBRA2472.docx")</f>
        <v>https://docs.wto.org/imrd/directdoc.asp?DDFDocuments/t/G/SPS/NBRA2472.docx</v>
      </c>
      <c r="S401" t="str">
        <f>HYPERLINK("https://docs.wto.org/imrd/directdoc.asp?DDFDocuments/u/G/SPS/NBRA2472.docx", "https://docs.wto.org/imrd/directdoc.asp?DDFDocuments/u/G/SPS/NBRA2472.docx")</f>
        <v>https://docs.wto.org/imrd/directdoc.asp?DDFDocuments/u/G/SPS/NBRA2472.docx</v>
      </c>
      <c r="T401" t="str">
        <f>HYPERLINK("https://docs.wto.org/imrd/directdoc.asp?DDFDocuments/v/G/SPS/NBRA2472.docx", "https://docs.wto.org/imrd/directdoc.asp?DDFDocuments/v/G/SPS/NBRA2472.docx")</f>
        <v>https://docs.wto.org/imrd/directdoc.asp?DDFDocuments/v/G/SPS/NBRA2472.docx</v>
      </c>
      <c r="U401" t="s">
        <v>43</v>
      </c>
      <c r="V401" t="s">
        <v>43</v>
      </c>
      <c r="W401" t="s">
        <v>43</v>
      </c>
      <c r="X401" t="s">
        <v>43</v>
      </c>
      <c r="Y401" t="s">
        <v>43</v>
      </c>
      <c r="Z401" t="s">
        <v>43</v>
      </c>
      <c r="AA401" t="s">
        <v>43</v>
      </c>
      <c r="AB401" s="2" t="s">
        <v>43</v>
      </c>
      <c r="AC401" t="s">
        <v>46</v>
      </c>
      <c r="AD401" t="s">
        <v>46</v>
      </c>
      <c r="AE401" t="s">
        <v>64</v>
      </c>
      <c r="AF401" t="s">
        <v>46</v>
      </c>
      <c r="AG401" t="s">
        <v>64</v>
      </c>
      <c r="AH401" s="2" t="s">
        <v>43</v>
      </c>
    </row>
    <row r="402" spans="1:34" ht="120">
      <c r="A402" s="6" t="s">
        <v>289</v>
      </c>
      <c r="B402" s="7">
        <v>46077</v>
      </c>
      <c r="C402" s="9" t="str">
        <f>HYPERLINK("https://eping.wto.org/en/Search?viewData= G/TBT/N/BRA/1622"," G/TBT/N/BRA/1622")</f>
        <v xml:space="preserve"> G/TBT/N/BRA/1622</v>
      </c>
      <c r="D402" s="8" t="s">
        <v>1994</v>
      </c>
      <c r="E402" s="8" t="s">
        <v>1995</v>
      </c>
      <c r="F402" s="8" t="s">
        <v>1996</v>
      </c>
      <c r="G402" s="8" t="s">
        <v>1997</v>
      </c>
      <c r="H402" s="8" t="s">
        <v>1998</v>
      </c>
      <c r="I402" s="8" t="s">
        <v>129</v>
      </c>
      <c r="J402" s="8" t="s">
        <v>43</v>
      </c>
      <c r="K402" s="8" t="s">
        <v>240</v>
      </c>
      <c r="L402" s="6"/>
      <c r="M402" s="7">
        <v>46137</v>
      </c>
      <c r="N402" s="7" t="s">
        <v>1999</v>
      </c>
      <c r="O402" s="7" t="s">
        <v>1999</v>
      </c>
      <c r="P402" s="6" t="s">
        <v>62</v>
      </c>
      <c r="Q402" s="8" t="s">
        <v>2000</v>
      </c>
      <c r="R402" t="str">
        <f>HYPERLINK("https://docs.wto.org/imrd/directdoc.asp?DDFDocuments/t/G/TBTN26/BRA1622.docx", "https://docs.wto.org/imrd/directdoc.asp?DDFDocuments/t/G/TBTN26/BRA1622.docx")</f>
        <v>https://docs.wto.org/imrd/directdoc.asp?DDFDocuments/t/G/TBTN26/BRA1622.docx</v>
      </c>
      <c r="S402" t="str">
        <f>HYPERLINK("https://docs.wto.org/imrd/directdoc.asp?DDFDocuments/u/G/TBTN26/BRA1622.docx", "https://docs.wto.org/imrd/directdoc.asp?DDFDocuments/u/G/TBTN26/BRA1622.docx")</f>
        <v>https://docs.wto.org/imrd/directdoc.asp?DDFDocuments/u/G/TBTN26/BRA1622.docx</v>
      </c>
      <c r="T402" t="str">
        <f>HYPERLINK("https://docs.wto.org/imrd/directdoc.asp?DDFDocuments/v/G/TBTN26/BRA1622.docx", "https://docs.wto.org/imrd/directdoc.asp?DDFDocuments/v/G/TBTN26/BRA1622.docx")</f>
        <v>https://docs.wto.org/imrd/directdoc.asp?DDFDocuments/v/G/TBTN26/BRA1622.docx</v>
      </c>
      <c r="U402" t="s">
        <v>64</v>
      </c>
      <c r="V402" t="s">
        <v>46</v>
      </c>
      <c r="W402" t="s">
        <v>46</v>
      </c>
      <c r="X402" t="s">
        <v>46</v>
      </c>
      <c r="Y402" t="s">
        <v>46</v>
      </c>
      <c r="Z402" t="s">
        <v>46</v>
      </c>
      <c r="AA402" t="s">
        <v>46</v>
      </c>
      <c r="AB402" s="2" t="s">
        <v>2001</v>
      </c>
      <c r="AC402" t="s">
        <v>43</v>
      </c>
      <c r="AD402" t="s">
        <v>43</v>
      </c>
      <c r="AE402" t="s">
        <v>43</v>
      </c>
      <c r="AF402" t="s">
        <v>43</v>
      </c>
      <c r="AG402" t="s">
        <v>43</v>
      </c>
      <c r="AH402" s="2" t="s">
        <v>43</v>
      </c>
    </row>
    <row r="403" spans="1:34" ht="135">
      <c r="A403" s="6" t="s">
        <v>146</v>
      </c>
      <c r="B403" s="7">
        <v>46077</v>
      </c>
      <c r="C403" s="9" t="str">
        <f>HYPERLINK("https://eping.wto.org/en/Search?viewData= G/SPS/N/CHL/869/Add.1"," G/SPS/N/CHL/869/Add.1")</f>
        <v xml:space="preserve"> G/SPS/N/CHL/869/Add.1</v>
      </c>
      <c r="D403" s="8" t="s">
        <v>2002</v>
      </c>
      <c r="E403" s="8" t="s">
        <v>2002</v>
      </c>
      <c r="F403" s="8" t="s">
        <v>2003</v>
      </c>
      <c r="G403" s="8" t="s">
        <v>484</v>
      </c>
      <c r="H403" s="8" t="s">
        <v>43</v>
      </c>
      <c r="I403" s="8" t="s">
        <v>94</v>
      </c>
      <c r="J403" s="8" t="s">
        <v>43</v>
      </c>
      <c r="K403" s="8" t="s">
        <v>2004</v>
      </c>
      <c r="L403" s="6"/>
      <c r="M403" s="7" t="s">
        <v>43</v>
      </c>
      <c r="N403" s="7"/>
      <c r="O403" s="7"/>
      <c r="P403" s="6" t="s">
        <v>44</v>
      </c>
      <c r="Q403" s="8" t="s">
        <v>2005</v>
      </c>
      <c r="R403" t="str">
        <f>HYPERLINK("https://docs.wto.org/imrd/directdoc.asp?DDFDocuments/t/G/SPS/NCHL869A1.docx", "https://docs.wto.org/imrd/directdoc.asp?DDFDocuments/t/G/SPS/NCHL869A1.docx")</f>
        <v>https://docs.wto.org/imrd/directdoc.asp?DDFDocuments/t/G/SPS/NCHL869A1.docx</v>
      </c>
      <c r="S403" t="str">
        <f>HYPERLINK("https://docs.wto.org/imrd/directdoc.asp?DDFDocuments/u/G/SPS/NCHL869A1.docx", "https://docs.wto.org/imrd/directdoc.asp?DDFDocuments/u/G/SPS/NCHL869A1.docx")</f>
        <v>https://docs.wto.org/imrd/directdoc.asp?DDFDocuments/u/G/SPS/NCHL869A1.docx</v>
      </c>
      <c r="T403" t="str">
        <f>HYPERLINK("https://docs.wto.org/imrd/directdoc.asp?DDFDocuments/v/G/SPS/NCHL869A1.docx", "https://docs.wto.org/imrd/directdoc.asp?DDFDocuments/v/G/SPS/NCHL869A1.docx")</f>
        <v>https://docs.wto.org/imrd/directdoc.asp?DDFDocuments/v/G/SPS/NCHL869A1.docx</v>
      </c>
      <c r="U403" t="s">
        <v>43</v>
      </c>
      <c r="V403" t="s">
        <v>43</v>
      </c>
      <c r="W403" t="s">
        <v>43</v>
      </c>
      <c r="X403" t="s">
        <v>43</v>
      </c>
      <c r="Y403" t="s">
        <v>43</v>
      </c>
      <c r="Z403" t="s">
        <v>43</v>
      </c>
      <c r="AA403" t="s">
        <v>43</v>
      </c>
      <c r="AB403" s="2" t="s">
        <v>43</v>
      </c>
      <c r="AC403" t="s">
        <v>43</v>
      </c>
      <c r="AD403" t="s">
        <v>43</v>
      </c>
      <c r="AE403" t="s">
        <v>43</v>
      </c>
      <c r="AF403" t="s">
        <v>43</v>
      </c>
      <c r="AG403" t="s">
        <v>43</v>
      </c>
      <c r="AH403" s="2" t="s">
        <v>43</v>
      </c>
    </row>
    <row r="404" spans="1:34" ht="165">
      <c r="A404" s="6" t="s">
        <v>100</v>
      </c>
      <c r="B404" s="7">
        <v>46077</v>
      </c>
      <c r="C404" s="9" t="str">
        <f>HYPERLINK("https://eping.wto.org/en/Search?viewData= G/SPS/N/THA/769/Add.1"," G/SPS/N/THA/769/Add.1")</f>
        <v xml:space="preserve"> G/SPS/N/THA/769/Add.1</v>
      </c>
      <c r="D404" s="8" t="s">
        <v>2006</v>
      </c>
      <c r="E404" s="8" t="s">
        <v>2007</v>
      </c>
      <c r="F404" s="8" t="s">
        <v>1908</v>
      </c>
      <c r="G404" s="8" t="s">
        <v>1909</v>
      </c>
      <c r="H404" s="8" t="s">
        <v>43</v>
      </c>
      <c r="I404" s="8" t="s">
        <v>104</v>
      </c>
      <c r="J404" s="8" t="s">
        <v>43</v>
      </c>
      <c r="K404" s="8" t="s">
        <v>2008</v>
      </c>
      <c r="L404" s="6"/>
      <c r="M404" s="7" t="s">
        <v>43</v>
      </c>
      <c r="N404" s="7"/>
      <c r="O404" s="7"/>
      <c r="P404" s="6" t="s">
        <v>72</v>
      </c>
      <c r="Q404" s="6"/>
      <c r="R404" t="str">
        <f>HYPERLINK("https://docs.wto.org/imrd/directdoc.asp?DDFDocuments/t/G/SPS/NTHA769A1.docx", "https://docs.wto.org/imrd/directdoc.asp?DDFDocuments/t/G/SPS/NTHA769A1.docx")</f>
        <v>https://docs.wto.org/imrd/directdoc.asp?DDFDocuments/t/G/SPS/NTHA769A1.docx</v>
      </c>
      <c r="S404" t="str">
        <f>HYPERLINK("https://docs.wto.org/imrd/directdoc.asp?DDFDocuments/u/G/SPS/NTHA769A1.docx", "https://docs.wto.org/imrd/directdoc.asp?DDFDocuments/u/G/SPS/NTHA769A1.docx")</f>
        <v>https://docs.wto.org/imrd/directdoc.asp?DDFDocuments/u/G/SPS/NTHA769A1.docx</v>
      </c>
      <c r="T404" t="str">
        <f>HYPERLINK("https://docs.wto.org/imrd/directdoc.asp?DDFDocuments/v/G/SPS/NTHA769A1.docx", "https://docs.wto.org/imrd/directdoc.asp?DDFDocuments/v/G/SPS/NTHA769A1.docx")</f>
        <v>https://docs.wto.org/imrd/directdoc.asp?DDFDocuments/v/G/SPS/NTHA769A1.docx</v>
      </c>
      <c r="U404" t="s">
        <v>43</v>
      </c>
      <c r="V404" t="s">
        <v>43</v>
      </c>
      <c r="W404" t="s">
        <v>43</v>
      </c>
      <c r="X404" t="s">
        <v>43</v>
      </c>
      <c r="Y404" t="s">
        <v>43</v>
      </c>
      <c r="Z404" t="s">
        <v>43</v>
      </c>
      <c r="AA404" t="s">
        <v>43</v>
      </c>
      <c r="AB404" s="2" t="s">
        <v>43</v>
      </c>
      <c r="AC404" t="s">
        <v>43</v>
      </c>
      <c r="AD404" t="s">
        <v>43</v>
      </c>
      <c r="AE404" t="s">
        <v>43</v>
      </c>
      <c r="AF404" t="s">
        <v>43</v>
      </c>
      <c r="AG404" t="s">
        <v>43</v>
      </c>
      <c r="AH404" s="2" t="s">
        <v>43</v>
      </c>
    </row>
    <row r="405" spans="1:34" ht="45">
      <c r="A405" s="6" t="s">
        <v>338</v>
      </c>
      <c r="B405" s="7">
        <v>46077</v>
      </c>
      <c r="C405" s="9" t="str">
        <f>HYPERLINK("https://eping.wto.org/en/Search?viewData= G/SPS/N/ARE/321, G/SPS/N/BHR/273, G/SPS/N/KWT/202, G/SPS/N/OMN/169, G/SPS/N/QAT/172, G/SPS/N/SAU/613, G/SPS/N/YEM/113"," G/SPS/N/ARE/321, G/SPS/N/BHR/273, G/SPS/N/KWT/202, G/SPS/N/OMN/169, G/SPS/N/QAT/172, G/SPS/N/SAU/613, G/SPS/N/YEM/113")</f>
        <v xml:space="preserve"> G/SPS/N/ARE/321, G/SPS/N/BHR/273, G/SPS/N/KWT/202, G/SPS/N/OMN/169, G/SPS/N/QAT/172, G/SPS/N/SAU/613, G/SPS/N/YEM/113</v>
      </c>
      <c r="D405" s="8" t="s">
        <v>1925</v>
      </c>
      <c r="E405" s="8" t="s">
        <v>1926</v>
      </c>
      <c r="F405" s="8" t="s">
        <v>1927</v>
      </c>
      <c r="G405" s="8" t="s">
        <v>43</v>
      </c>
      <c r="H405" s="8" t="s">
        <v>1803</v>
      </c>
      <c r="I405" s="8" t="s">
        <v>58</v>
      </c>
      <c r="J405" s="8" t="s">
        <v>43</v>
      </c>
      <c r="K405" s="8" t="s">
        <v>310</v>
      </c>
      <c r="L405" s="6" t="s">
        <v>43</v>
      </c>
      <c r="M405" s="7">
        <v>46137</v>
      </c>
      <c r="N405" s="7" t="s">
        <v>1928</v>
      </c>
      <c r="O405" s="7" t="s">
        <v>114</v>
      </c>
      <c r="P405" s="6" t="s">
        <v>62</v>
      </c>
      <c r="Q405" s="8" t="s">
        <v>1929</v>
      </c>
      <c r="R405" t="str">
        <f>HYPERLINK("https://docs.wto.org/imrd/directdoc.asp?DDFDocuments/t/G/SPS/NARE321.docx", "https://docs.wto.org/imrd/directdoc.asp?DDFDocuments/t/G/SPS/NARE321.docx")</f>
        <v>https://docs.wto.org/imrd/directdoc.asp?DDFDocuments/t/G/SPS/NARE321.docx</v>
      </c>
      <c r="S405" t="str">
        <f>HYPERLINK("https://docs.wto.org/imrd/directdoc.asp?DDFDocuments/u/G/SPS/NARE321.docx", "https://docs.wto.org/imrd/directdoc.asp?DDFDocuments/u/G/SPS/NARE321.docx")</f>
        <v>https://docs.wto.org/imrd/directdoc.asp?DDFDocuments/u/G/SPS/NARE321.docx</v>
      </c>
      <c r="T405" t="str">
        <f>HYPERLINK("https://docs.wto.org/imrd/directdoc.asp?DDFDocuments/v/G/SPS/NARE321.docx", "https://docs.wto.org/imrd/directdoc.asp?DDFDocuments/v/G/SPS/NARE321.docx")</f>
        <v>https://docs.wto.org/imrd/directdoc.asp?DDFDocuments/v/G/SPS/NARE321.docx</v>
      </c>
      <c r="U405" t="s">
        <v>43</v>
      </c>
      <c r="V405" t="s">
        <v>43</v>
      </c>
      <c r="W405" t="s">
        <v>43</v>
      </c>
      <c r="X405" t="s">
        <v>43</v>
      </c>
      <c r="Y405" t="s">
        <v>43</v>
      </c>
      <c r="Z405" t="s">
        <v>43</v>
      </c>
      <c r="AA405" t="s">
        <v>43</v>
      </c>
      <c r="AB405" s="2" t="s">
        <v>43</v>
      </c>
      <c r="AC405" t="s">
        <v>64</v>
      </c>
      <c r="AD405" t="s">
        <v>46</v>
      </c>
      <c r="AE405" t="s">
        <v>46</v>
      </c>
      <c r="AF405" t="s">
        <v>46</v>
      </c>
      <c r="AG405" t="s">
        <v>64</v>
      </c>
      <c r="AH405" s="2" t="s">
        <v>43</v>
      </c>
    </row>
    <row r="406" spans="1:34" ht="45">
      <c r="A406" s="6" t="s">
        <v>1834</v>
      </c>
      <c r="B406" s="7">
        <v>46077</v>
      </c>
      <c r="C406" s="9" t="str">
        <f>HYPERLINK("https://eping.wto.org/en/Search?viewData= G/SPS/N/ARE/321, G/SPS/N/BHR/273, G/SPS/N/KWT/202, G/SPS/N/OMN/169, G/SPS/N/QAT/172, G/SPS/N/SAU/613, G/SPS/N/YEM/113"," G/SPS/N/ARE/321, G/SPS/N/BHR/273, G/SPS/N/KWT/202, G/SPS/N/OMN/169, G/SPS/N/QAT/172, G/SPS/N/SAU/613, G/SPS/N/YEM/113")</f>
        <v xml:space="preserve"> G/SPS/N/ARE/321, G/SPS/N/BHR/273, G/SPS/N/KWT/202, G/SPS/N/OMN/169, G/SPS/N/QAT/172, G/SPS/N/SAU/613, G/SPS/N/YEM/113</v>
      </c>
      <c r="D406" s="8" t="s">
        <v>1925</v>
      </c>
      <c r="E406" s="8" t="s">
        <v>1926</v>
      </c>
      <c r="F406" s="8" t="s">
        <v>1927</v>
      </c>
      <c r="G406" s="8" t="s">
        <v>43</v>
      </c>
      <c r="H406" s="8" t="s">
        <v>1803</v>
      </c>
      <c r="I406" s="8" t="s">
        <v>58</v>
      </c>
      <c r="J406" s="8" t="s">
        <v>43</v>
      </c>
      <c r="K406" s="8" t="s">
        <v>157</v>
      </c>
      <c r="L406" s="6" t="s">
        <v>43</v>
      </c>
      <c r="M406" s="7">
        <v>46137</v>
      </c>
      <c r="N406" s="7" t="s">
        <v>1928</v>
      </c>
      <c r="O406" s="7" t="s">
        <v>114</v>
      </c>
      <c r="P406" s="6" t="s">
        <v>62</v>
      </c>
      <c r="Q406" s="8" t="s">
        <v>1929</v>
      </c>
      <c r="R406" t="str">
        <f>HYPERLINK("https://docs.wto.org/imrd/directdoc.asp?DDFDocuments/t/G/SPS/NARE321.docx", "https://docs.wto.org/imrd/directdoc.asp?DDFDocuments/t/G/SPS/NARE321.docx")</f>
        <v>https://docs.wto.org/imrd/directdoc.asp?DDFDocuments/t/G/SPS/NARE321.docx</v>
      </c>
      <c r="S406" t="str">
        <f>HYPERLINK("https://docs.wto.org/imrd/directdoc.asp?DDFDocuments/u/G/SPS/NARE321.docx", "https://docs.wto.org/imrd/directdoc.asp?DDFDocuments/u/G/SPS/NARE321.docx")</f>
        <v>https://docs.wto.org/imrd/directdoc.asp?DDFDocuments/u/G/SPS/NARE321.docx</v>
      </c>
      <c r="T406" t="str">
        <f>HYPERLINK("https://docs.wto.org/imrd/directdoc.asp?DDFDocuments/v/G/SPS/NARE321.docx", "https://docs.wto.org/imrd/directdoc.asp?DDFDocuments/v/G/SPS/NARE321.docx")</f>
        <v>https://docs.wto.org/imrd/directdoc.asp?DDFDocuments/v/G/SPS/NARE321.docx</v>
      </c>
      <c r="U406" t="s">
        <v>43</v>
      </c>
      <c r="V406" t="s">
        <v>43</v>
      </c>
      <c r="W406" t="s">
        <v>43</v>
      </c>
      <c r="X406" t="s">
        <v>43</v>
      </c>
      <c r="Y406" t="s">
        <v>43</v>
      </c>
      <c r="Z406" t="s">
        <v>43</v>
      </c>
      <c r="AA406" t="s">
        <v>43</v>
      </c>
      <c r="AB406" s="2" t="s">
        <v>43</v>
      </c>
      <c r="AC406" t="s">
        <v>64</v>
      </c>
      <c r="AD406" t="s">
        <v>46</v>
      </c>
      <c r="AE406" t="s">
        <v>46</v>
      </c>
      <c r="AF406" t="s">
        <v>46</v>
      </c>
      <c r="AG406" t="s">
        <v>64</v>
      </c>
      <c r="AH406" s="2" t="s">
        <v>43</v>
      </c>
    </row>
    <row r="407" spans="1:34" ht="45">
      <c r="A407" s="6" t="s">
        <v>1900</v>
      </c>
      <c r="B407" s="7">
        <v>46077</v>
      </c>
      <c r="C407" s="9" t="str">
        <f>HYPERLINK("https://eping.wto.org/en/Search?viewData= G/SPS/N/ARE/321, G/SPS/N/BHR/273, G/SPS/N/KWT/202, G/SPS/N/OMN/169, G/SPS/N/QAT/172, G/SPS/N/SAU/613, G/SPS/N/YEM/113"," G/SPS/N/ARE/321, G/SPS/N/BHR/273, G/SPS/N/KWT/202, G/SPS/N/OMN/169, G/SPS/N/QAT/172, G/SPS/N/SAU/613, G/SPS/N/YEM/113")</f>
        <v xml:space="preserve"> G/SPS/N/ARE/321, G/SPS/N/BHR/273, G/SPS/N/KWT/202, G/SPS/N/OMN/169, G/SPS/N/QAT/172, G/SPS/N/SAU/613, G/SPS/N/YEM/113</v>
      </c>
      <c r="D407" s="8" t="s">
        <v>1925</v>
      </c>
      <c r="E407" s="8" t="s">
        <v>1926</v>
      </c>
      <c r="F407" s="8" t="s">
        <v>1927</v>
      </c>
      <c r="G407" s="8" t="s">
        <v>43</v>
      </c>
      <c r="H407" s="8" t="s">
        <v>1803</v>
      </c>
      <c r="I407" s="8" t="s">
        <v>58</v>
      </c>
      <c r="J407" s="8" t="s">
        <v>43</v>
      </c>
      <c r="K407" s="8" t="s">
        <v>157</v>
      </c>
      <c r="L407" s="6" t="s">
        <v>43</v>
      </c>
      <c r="M407" s="7">
        <v>46137</v>
      </c>
      <c r="N407" s="7" t="s">
        <v>1928</v>
      </c>
      <c r="O407" s="7" t="s">
        <v>114</v>
      </c>
      <c r="P407" s="6" t="s">
        <v>62</v>
      </c>
      <c r="Q407" s="8" t="s">
        <v>1929</v>
      </c>
      <c r="R407" t="str">
        <f>HYPERLINK("https://docs.wto.org/imrd/directdoc.asp?DDFDocuments/t/G/SPS/NARE321.docx", "https://docs.wto.org/imrd/directdoc.asp?DDFDocuments/t/G/SPS/NARE321.docx")</f>
        <v>https://docs.wto.org/imrd/directdoc.asp?DDFDocuments/t/G/SPS/NARE321.docx</v>
      </c>
      <c r="S407" t="str">
        <f>HYPERLINK("https://docs.wto.org/imrd/directdoc.asp?DDFDocuments/u/G/SPS/NARE321.docx", "https://docs.wto.org/imrd/directdoc.asp?DDFDocuments/u/G/SPS/NARE321.docx")</f>
        <v>https://docs.wto.org/imrd/directdoc.asp?DDFDocuments/u/G/SPS/NARE321.docx</v>
      </c>
      <c r="T407" t="str">
        <f>HYPERLINK("https://docs.wto.org/imrd/directdoc.asp?DDFDocuments/v/G/SPS/NARE321.docx", "https://docs.wto.org/imrd/directdoc.asp?DDFDocuments/v/G/SPS/NARE321.docx")</f>
        <v>https://docs.wto.org/imrd/directdoc.asp?DDFDocuments/v/G/SPS/NARE321.docx</v>
      </c>
      <c r="U407" t="s">
        <v>43</v>
      </c>
      <c r="V407" t="s">
        <v>43</v>
      </c>
      <c r="W407" t="s">
        <v>43</v>
      </c>
      <c r="X407" t="s">
        <v>43</v>
      </c>
      <c r="Y407" t="s">
        <v>43</v>
      </c>
      <c r="Z407" t="s">
        <v>43</v>
      </c>
      <c r="AA407" t="s">
        <v>43</v>
      </c>
      <c r="AB407" s="2" t="s">
        <v>43</v>
      </c>
      <c r="AC407" t="s">
        <v>64</v>
      </c>
      <c r="AD407" t="s">
        <v>46</v>
      </c>
      <c r="AE407" t="s">
        <v>46</v>
      </c>
      <c r="AF407" t="s">
        <v>46</v>
      </c>
      <c r="AG407" t="s">
        <v>64</v>
      </c>
      <c r="AH407" s="2" t="s">
        <v>43</v>
      </c>
    </row>
    <row r="408" spans="1:34" ht="60">
      <c r="A408" s="6" t="s">
        <v>209</v>
      </c>
      <c r="B408" s="7">
        <v>46077</v>
      </c>
      <c r="C408" s="9" t="str">
        <f>HYPERLINK("https://eping.wto.org/en/Search?viewData= G/SPS/N/RUS/350"," G/SPS/N/RUS/350")</f>
        <v xml:space="preserve"> G/SPS/N/RUS/350</v>
      </c>
      <c r="D408" s="8" t="s">
        <v>2009</v>
      </c>
      <c r="E408" s="8" t="s">
        <v>2010</v>
      </c>
      <c r="F408" s="8" t="s">
        <v>1693</v>
      </c>
      <c r="G408" s="8" t="s">
        <v>43</v>
      </c>
      <c r="H408" s="8" t="s">
        <v>43</v>
      </c>
      <c r="I408" s="8" t="s">
        <v>254</v>
      </c>
      <c r="J408" s="8" t="s">
        <v>43</v>
      </c>
      <c r="K408" s="8" t="s">
        <v>512</v>
      </c>
      <c r="L408" s="6" t="s">
        <v>43</v>
      </c>
      <c r="M408" s="7">
        <v>46132</v>
      </c>
      <c r="N408" s="7" t="s">
        <v>304</v>
      </c>
      <c r="O408" s="7" t="s">
        <v>304</v>
      </c>
      <c r="P408" s="6" t="s">
        <v>62</v>
      </c>
      <c r="Q408" s="8" t="s">
        <v>2011</v>
      </c>
      <c r="R408" t="str">
        <f>HYPERLINK("https://docs.wto.org/imrd/directdoc.asp?DDFDocuments/t/G/SPS/NRUS350.docx", "https://docs.wto.org/imrd/directdoc.asp?DDFDocuments/t/G/SPS/NRUS350.docx")</f>
        <v>https://docs.wto.org/imrd/directdoc.asp?DDFDocuments/t/G/SPS/NRUS350.docx</v>
      </c>
      <c r="S408" t="str">
        <f>HYPERLINK("https://docs.wto.org/imrd/directdoc.asp?DDFDocuments/u/G/SPS/NRUS350.docx", "https://docs.wto.org/imrd/directdoc.asp?DDFDocuments/u/G/SPS/NRUS350.docx")</f>
        <v>https://docs.wto.org/imrd/directdoc.asp?DDFDocuments/u/G/SPS/NRUS350.docx</v>
      </c>
      <c r="T408" t="str">
        <f>HYPERLINK("https://docs.wto.org/imrd/directdoc.asp?DDFDocuments/v/G/SPS/NRUS350.docx", "https://docs.wto.org/imrd/directdoc.asp?DDFDocuments/v/G/SPS/NRUS350.docx")</f>
        <v>https://docs.wto.org/imrd/directdoc.asp?DDFDocuments/v/G/SPS/NRUS350.docx</v>
      </c>
      <c r="U408" t="s">
        <v>43</v>
      </c>
      <c r="V408" t="s">
        <v>43</v>
      </c>
      <c r="W408" t="s">
        <v>43</v>
      </c>
      <c r="X408" t="s">
        <v>43</v>
      </c>
      <c r="Y408" t="s">
        <v>43</v>
      </c>
      <c r="Z408" t="s">
        <v>43</v>
      </c>
      <c r="AA408" t="s">
        <v>43</v>
      </c>
      <c r="AB408" s="2" t="s">
        <v>43</v>
      </c>
      <c r="AC408" t="s">
        <v>46</v>
      </c>
      <c r="AD408" t="s">
        <v>46</v>
      </c>
      <c r="AE408" t="s">
        <v>64</v>
      </c>
      <c r="AF408" t="s">
        <v>46</v>
      </c>
      <c r="AG408" t="s">
        <v>64</v>
      </c>
      <c r="AH408" s="2" t="s">
        <v>43</v>
      </c>
    </row>
    <row r="409" spans="1:34" ht="30">
      <c r="A409" s="6" t="s">
        <v>185</v>
      </c>
      <c r="B409" s="7">
        <v>46077</v>
      </c>
      <c r="C409" s="9" t="str">
        <f>HYPERLINK("https://eping.wto.org/en/Search?viewData= G/SPS/N/CHN/1358"," G/SPS/N/CHN/1358")</f>
        <v xml:space="preserve"> G/SPS/N/CHN/1358</v>
      </c>
      <c r="D409" s="8" t="s">
        <v>2012</v>
      </c>
      <c r="E409" s="8" t="s">
        <v>2013</v>
      </c>
      <c r="F409" s="8" t="s">
        <v>2014</v>
      </c>
      <c r="G409" s="8" t="s">
        <v>2015</v>
      </c>
      <c r="H409" s="8" t="s">
        <v>43</v>
      </c>
      <c r="I409" s="8" t="s">
        <v>58</v>
      </c>
      <c r="J409" s="8" t="s">
        <v>43</v>
      </c>
      <c r="K409" s="8" t="s">
        <v>310</v>
      </c>
      <c r="L409" s="6" t="s">
        <v>43</v>
      </c>
      <c r="M409" s="7">
        <v>46137</v>
      </c>
      <c r="N409" s="7" t="s">
        <v>304</v>
      </c>
      <c r="O409" s="7" t="s">
        <v>2016</v>
      </c>
      <c r="P409" s="6" t="s">
        <v>62</v>
      </c>
      <c r="Q409" s="8" t="s">
        <v>2017</v>
      </c>
      <c r="R409" t="str">
        <f>HYPERLINK("https://docs.wto.org/imrd/directdoc.asp?DDFDocuments/t/G/SPS/NCHN1358.docx", "https://docs.wto.org/imrd/directdoc.asp?DDFDocuments/t/G/SPS/NCHN1358.docx")</f>
        <v>https://docs.wto.org/imrd/directdoc.asp?DDFDocuments/t/G/SPS/NCHN1358.docx</v>
      </c>
      <c r="S409" t="str">
        <f>HYPERLINK("https://docs.wto.org/imrd/directdoc.asp?DDFDocuments/u/G/SPS/NCHN1358.docx", "https://docs.wto.org/imrd/directdoc.asp?DDFDocuments/u/G/SPS/NCHN1358.docx")</f>
        <v>https://docs.wto.org/imrd/directdoc.asp?DDFDocuments/u/G/SPS/NCHN1358.docx</v>
      </c>
      <c r="T409" t="str">
        <f>HYPERLINK("https://docs.wto.org/imrd/directdoc.asp?DDFDocuments/v/G/SPS/NCHN1358.docx", "https://docs.wto.org/imrd/directdoc.asp?DDFDocuments/v/G/SPS/NCHN1358.docx")</f>
        <v>https://docs.wto.org/imrd/directdoc.asp?DDFDocuments/v/G/SPS/NCHN1358.docx</v>
      </c>
      <c r="U409" t="s">
        <v>43</v>
      </c>
      <c r="V409" t="s">
        <v>43</v>
      </c>
      <c r="W409" t="s">
        <v>43</v>
      </c>
      <c r="X409" t="s">
        <v>43</v>
      </c>
      <c r="Y409" t="s">
        <v>43</v>
      </c>
      <c r="Z409" t="s">
        <v>43</v>
      </c>
      <c r="AA409" t="s">
        <v>43</v>
      </c>
      <c r="AB409" s="2" t="s">
        <v>43</v>
      </c>
      <c r="AC409" t="s">
        <v>46</v>
      </c>
      <c r="AD409" t="s">
        <v>46</v>
      </c>
      <c r="AE409" t="s">
        <v>46</v>
      </c>
      <c r="AF409" t="s">
        <v>64</v>
      </c>
      <c r="AG409" t="s">
        <v>99</v>
      </c>
      <c r="AH409" s="2" t="s">
        <v>43</v>
      </c>
    </row>
    <row r="410" spans="1:34" ht="135">
      <c r="A410" s="6" t="s">
        <v>146</v>
      </c>
      <c r="B410" s="7">
        <v>46077</v>
      </c>
      <c r="C410" s="9" t="str">
        <f>HYPERLINK("https://eping.wto.org/en/Search?viewData= G/SPS/N/CHL/839/Add.1"," G/SPS/N/CHL/839/Add.1")</f>
        <v xml:space="preserve"> G/SPS/N/CHL/839/Add.1</v>
      </c>
      <c r="D410" s="8" t="s">
        <v>2018</v>
      </c>
      <c r="E410" s="8" t="s">
        <v>2018</v>
      </c>
      <c r="F410" s="8" t="s">
        <v>2019</v>
      </c>
      <c r="G410" s="8" t="s">
        <v>2020</v>
      </c>
      <c r="H410" s="8" t="s">
        <v>43</v>
      </c>
      <c r="I410" s="8" t="s">
        <v>254</v>
      </c>
      <c r="J410" s="8" t="s">
        <v>43</v>
      </c>
      <c r="K410" s="8" t="s">
        <v>2021</v>
      </c>
      <c r="L410" s="6"/>
      <c r="M410" s="7" t="s">
        <v>43</v>
      </c>
      <c r="N410" s="7"/>
      <c r="O410" s="7"/>
      <c r="P410" s="6" t="s">
        <v>44</v>
      </c>
      <c r="Q410" s="8" t="s">
        <v>2022</v>
      </c>
      <c r="R410" t="str">
        <f>HYPERLINK("https://docs.wto.org/imrd/directdoc.asp?DDFDocuments/t/G/SPS/NCHL839A1.docx", "https://docs.wto.org/imrd/directdoc.asp?DDFDocuments/t/G/SPS/NCHL839A1.docx")</f>
        <v>https://docs.wto.org/imrd/directdoc.asp?DDFDocuments/t/G/SPS/NCHL839A1.docx</v>
      </c>
      <c r="S410" t="str">
        <f>HYPERLINK("https://docs.wto.org/imrd/directdoc.asp?DDFDocuments/u/G/SPS/NCHL839A1.docx", "https://docs.wto.org/imrd/directdoc.asp?DDFDocuments/u/G/SPS/NCHL839A1.docx")</f>
        <v>https://docs.wto.org/imrd/directdoc.asp?DDFDocuments/u/G/SPS/NCHL839A1.docx</v>
      </c>
      <c r="T410" t="str">
        <f>HYPERLINK("https://docs.wto.org/imrd/directdoc.asp?DDFDocuments/v/G/SPS/NCHL839A1.docx", "https://docs.wto.org/imrd/directdoc.asp?DDFDocuments/v/G/SPS/NCHL839A1.docx")</f>
        <v>https://docs.wto.org/imrd/directdoc.asp?DDFDocuments/v/G/SPS/NCHL839A1.docx</v>
      </c>
      <c r="U410" t="s">
        <v>43</v>
      </c>
      <c r="V410" t="s">
        <v>43</v>
      </c>
      <c r="W410" t="s">
        <v>43</v>
      </c>
      <c r="X410" t="s">
        <v>43</v>
      </c>
      <c r="Y410" t="s">
        <v>43</v>
      </c>
      <c r="Z410" t="s">
        <v>43</v>
      </c>
      <c r="AA410" t="s">
        <v>43</v>
      </c>
      <c r="AB410" s="2" t="s">
        <v>43</v>
      </c>
      <c r="AC410" t="s">
        <v>43</v>
      </c>
      <c r="AD410" t="s">
        <v>43</v>
      </c>
      <c r="AE410" t="s">
        <v>43</v>
      </c>
      <c r="AF410" t="s">
        <v>43</v>
      </c>
      <c r="AG410" t="s">
        <v>43</v>
      </c>
      <c r="AH410" s="2" t="s">
        <v>43</v>
      </c>
    </row>
    <row r="411" spans="1:34" ht="120">
      <c r="A411" s="6" t="s">
        <v>132</v>
      </c>
      <c r="B411" s="7">
        <v>46077</v>
      </c>
      <c r="C411" s="9" t="str">
        <f>HYPERLINK("https://eping.wto.org/en/Search?viewData= G/TBT/N/USA/1367/Rev.2"," G/TBT/N/USA/1367/Rev.2")</f>
        <v xml:space="preserve"> G/TBT/N/USA/1367/Rev.2</v>
      </c>
      <c r="D411" s="8" t="s">
        <v>2023</v>
      </c>
      <c r="E411" s="8" t="s">
        <v>2024</v>
      </c>
      <c r="F411" s="8" t="s">
        <v>2025</v>
      </c>
      <c r="G411" s="8" t="s">
        <v>43</v>
      </c>
      <c r="H411" s="8" t="s">
        <v>2026</v>
      </c>
      <c r="I411" s="8" t="s">
        <v>1826</v>
      </c>
      <c r="J411" s="8" t="s">
        <v>43</v>
      </c>
      <c r="K411" s="8" t="s">
        <v>43</v>
      </c>
      <c r="L411" s="6"/>
      <c r="M411" s="7">
        <v>46106</v>
      </c>
      <c r="N411" s="7" t="s">
        <v>79</v>
      </c>
      <c r="O411" s="7" t="s">
        <v>79</v>
      </c>
      <c r="P411" s="6" t="s">
        <v>138</v>
      </c>
      <c r="Q411" s="8" t="s">
        <v>2027</v>
      </c>
      <c r="R411" t="str">
        <f>HYPERLINK("https://docs.wto.org/imrd/directdoc.asp?DDFDocuments/t/G/TBTN18/USA1367R2.docx", "https://docs.wto.org/imrd/directdoc.asp?DDFDocuments/t/G/TBTN18/USA1367R2.docx")</f>
        <v>https://docs.wto.org/imrd/directdoc.asp?DDFDocuments/t/G/TBTN18/USA1367R2.docx</v>
      </c>
      <c r="S411" t="str">
        <f>HYPERLINK("https://docs.wto.org/imrd/directdoc.asp?DDFDocuments/u/G/TBTN18/USA1367R2.docx", "https://docs.wto.org/imrd/directdoc.asp?DDFDocuments/u/G/TBTN18/USA1367R2.docx")</f>
        <v>https://docs.wto.org/imrd/directdoc.asp?DDFDocuments/u/G/TBTN18/USA1367R2.docx</v>
      </c>
      <c r="T411" t="str">
        <f>HYPERLINK("https://docs.wto.org/imrd/directdoc.asp?DDFDocuments/v/G/TBTN18/USA1367R2.docx", "https://docs.wto.org/imrd/directdoc.asp?DDFDocuments/v/G/TBTN18/USA1367R2.docx")</f>
        <v>https://docs.wto.org/imrd/directdoc.asp?DDFDocuments/v/G/TBTN18/USA1367R2.docx</v>
      </c>
      <c r="U411" t="s">
        <v>64</v>
      </c>
      <c r="V411" t="s">
        <v>46</v>
      </c>
      <c r="W411" t="s">
        <v>64</v>
      </c>
      <c r="X411" t="s">
        <v>46</v>
      </c>
      <c r="Y411" t="s">
        <v>46</v>
      </c>
      <c r="Z411" t="s">
        <v>46</v>
      </c>
      <c r="AA411" t="s">
        <v>46</v>
      </c>
      <c r="AB411" s="2" t="s">
        <v>2028</v>
      </c>
      <c r="AC411" t="s">
        <v>43</v>
      </c>
      <c r="AD411" t="s">
        <v>43</v>
      </c>
      <c r="AE411" t="s">
        <v>43</v>
      </c>
      <c r="AF411" t="s">
        <v>43</v>
      </c>
      <c r="AG411" t="s">
        <v>43</v>
      </c>
      <c r="AH411" s="2" t="s">
        <v>43</v>
      </c>
    </row>
    <row r="412" spans="1:34" ht="45">
      <c r="A412" s="6" t="s">
        <v>1799</v>
      </c>
      <c r="B412" s="7">
        <v>46077</v>
      </c>
      <c r="C412" s="9" t="str">
        <f>HYPERLINK("https://eping.wto.org/en/Search?viewData= G/SPS/N/ARE/321, G/SPS/N/BHR/273, G/SPS/N/KWT/202, G/SPS/N/OMN/169, G/SPS/N/QAT/172, G/SPS/N/SAU/613, G/SPS/N/YEM/113"," G/SPS/N/ARE/321, G/SPS/N/BHR/273, G/SPS/N/KWT/202, G/SPS/N/OMN/169, G/SPS/N/QAT/172, G/SPS/N/SAU/613, G/SPS/N/YEM/113")</f>
        <v xml:space="preserve"> G/SPS/N/ARE/321, G/SPS/N/BHR/273, G/SPS/N/KWT/202, G/SPS/N/OMN/169, G/SPS/N/QAT/172, G/SPS/N/SAU/613, G/SPS/N/YEM/113</v>
      </c>
      <c r="D412" s="8" t="s">
        <v>1925</v>
      </c>
      <c r="E412" s="8" t="s">
        <v>1926</v>
      </c>
      <c r="F412" s="8" t="s">
        <v>1927</v>
      </c>
      <c r="G412" s="8" t="s">
        <v>43</v>
      </c>
      <c r="H412" s="8" t="s">
        <v>1803</v>
      </c>
      <c r="I412" s="8" t="s">
        <v>58</v>
      </c>
      <c r="J412" s="8" t="s">
        <v>43</v>
      </c>
      <c r="K412" s="8" t="s">
        <v>157</v>
      </c>
      <c r="L412" s="6" t="s">
        <v>43</v>
      </c>
      <c r="M412" s="7">
        <v>46137</v>
      </c>
      <c r="N412" s="7" t="s">
        <v>1928</v>
      </c>
      <c r="O412" s="7" t="s">
        <v>114</v>
      </c>
      <c r="P412" s="6" t="s">
        <v>62</v>
      </c>
      <c r="Q412" s="8" t="s">
        <v>1929</v>
      </c>
      <c r="R412" t="str">
        <f>HYPERLINK("https://docs.wto.org/imrd/directdoc.asp?DDFDocuments/t/G/SPS/NARE321.docx", "https://docs.wto.org/imrd/directdoc.asp?DDFDocuments/t/G/SPS/NARE321.docx")</f>
        <v>https://docs.wto.org/imrd/directdoc.asp?DDFDocuments/t/G/SPS/NARE321.docx</v>
      </c>
      <c r="S412" t="str">
        <f>HYPERLINK("https://docs.wto.org/imrd/directdoc.asp?DDFDocuments/u/G/SPS/NARE321.docx", "https://docs.wto.org/imrd/directdoc.asp?DDFDocuments/u/G/SPS/NARE321.docx")</f>
        <v>https://docs.wto.org/imrd/directdoc.asp?DDFDocuments/u/G/SPS/NARE321.docx</v>
      </c>
      <c r="T412" t="str">
        <f>HYPERLINK("https://docs.wto.org/imrd/directdoc.asp?DDFDocuments/v/G/SPS/NARE321.docx", "https://docs.wto.org/imrd/directdoc.asp?DDFDocuments/v/G/SPS/NARE321.docx")</f>
        <v>https://docs.wto.org/imrd/directdoc.asp?DDFDocuments/v/G/SPS/NARE321.docx</v>
      </c>
      <c r="U412" t="s">
        <v>43</v>
      </c>
      <c r="V412" t="s">
        <v>43</v>
      </c>
      <c r="W412" t="s">
        <v>43</v>
      </c>
      <c r="X412" t="s">
        <v>43</v>
      </c>
      <c r="Y412" t="s">
        <v>43</v>
      </c>
      <c r="Z412" t="s">
        <v>43</v>
      </c>
      <c r="AA412" t="s">
        <v>43</v>
      </c>
      <c r="AB412" s="2" t="s">
        <v>43</v>
      </c>
      <c r="AC412" t="s">
        <v>64</v>
      </c>
      <c r="AD412" t="s">
        <v>46</v>
      </c>
      <c r="AE412" t="s">
        <v>46</v>
      </c>
      <c r="AF412" t="s">
        <v>46</v>
      </c>
      <c r="AG412" t="s">
        <v>64</v>
      </c>
      <c r="AH412" s="2" t="s">
        <v>43</v>
      </c>
    </row>
    <row r="413" spans="1:34" ht="105">
      <c r="A413" s="6" t="s">
        <v>338</v>
      </c>
      <c r="B413" s="7">
        <v>46077</v>
      </c>
      <c r="C413" s="9" t="str">
        <f>HYPERLINK("https://eping.wto.org/en/Search?viewData= G/SPS/N/SAU/604/Add.2"," G/SPS/N/SAU/604/Add.2")</f>
        <v xml:space="preserve"> G/SPS/N/SAU/604/Add.2</v>
      </c>
      <c r="D413" s="8" t="s">
        <v>2029</v>
      </c>
      <c r="E413" s="8" t="s">
        <v>2030</v>
      </c>
      <c r="F413" s="8" t="s">
        <v>1682</v>
      </c>
      <c r="G413" s="8" t="s">
        <v>43</v>
      </c>
      <c r="H413" s="8" t="s">
        <v>43</v>
      </c>
      <c r="I413" s="8" t="s">
        <v>361</v>
      </c>
      <c r="J413" s="8" t="s">
        <v>43</v>
      </c>
      <c r="K413" s="8" t="s">
        <v>2031</v>
      </c>
      <c r="L413" s="6"/>
      <c r="M413" s="7" t="s">
        <v>43</v>
      </c>
      <c r="N413" s="7"/>
      <c r="O413" s="7"/>
      <c r="P413" s="6" t="s">
        <v>72</v>
      </c>
      <c r="Q413" s="8" t="s">
        <v>2032</v>
      </c>
      <c r="R413" t="str">
        <f>HYPERLINK("https://docs.wto.org/imrd/directdoc.asp?DDFDocuments/t/G/SPS/NSAU604A2.docx", "https://docs.wto.org/imrd/directdoc.asp?DDFDocuments/t/G/SPS/NSAU604A2.docx")</f>
        <v>https://docs.wto.org/imrd/directdoc.asp?DDFDocuments/t/G/SPS/NSAU604A2.docx</v>
      </c>
      <c r="S413" t="str">
        <f>HYPERLINK("https://docs.wto.org/imrd/directdoc.asp?DDFDocuments/u/G/SPS/NSAU604A2.docx", "https://docs.wto.org/imrd/directdoc.asp?DDFDocuments/u/G/SPS/NSAU604A2.docx")</f>
        <v>https://docs.wto.org/imrd/directdoc.asp?DDFDocuments/u/G/SPS/NSAU604A2.docx</v>
      </c>
      <c r="T413" t="str">
        <f>HYPERLINK("https://docs.wto.org/imrd/directdoc.asp?DDFDocuments/v/G/SPS/NSAU604A2.docx", "https://docs.wto.org/imrd/directdoc.asp?DDFDocuments/v/G/SPS/NSAU604A2.docx")</f>
        <v>https://docs.wto.org/imrd/directdoc.asp?DDFDocuments/v/G/SPS/NSAU604A2.docx</v>
      </c>
      <c r="U413" t="s">
        <v>43</v>
      </c>
      <c r="V413" t="s">
        <v>43</v>
      </c>
      <c r="W413" t="s">
        <v>43</v>
      </c>
      <c r="X413" t="s">
        <v>43</v>
      </c>
      <c r="Y413" t="s">
        <v>43</v>
      </c>
      <c r="Z413" t="s">
        <v>43</v>
      </c>
      <c r="AA413" t="s">
        <v>43</v>
      </c>
      <c r="AB413" s="2" t="s">
        <v>43</v>
      </c>
      <c r="AC413" t="s">
        <v>43</v>
      </c>
      <c r="AD413" t="s">
        <v>43</v>
      </c>
      <c r="AE413" t="s">
        <v>43</v>
      </c>
      <c r="AF413" t="s">
        <v>43</v>
      </c>
      <c r="AG413" t="s">
        <v>43</v>
      </c>
      <c r="AH413" s="2" t="s">
        <v>43</v>
      </c>
    </row>
    <row r="414" spans="1:34" ht="30">
      <c r="A414" s="6" t="s">
        <v>289</v>
      </c>
      <c r="B414" s="7">
        <v>46076</v>
      </c>
      <c r="C414" s="9" t="str">
        <f>HYPERLINK("https://eping.wto.org/en/Search?viewData= G/TBT/N/BRA/1522/Add.1"," G/TBT/N/BRA/1522/Add.1")</f>
        <v xml:space="preserve"> G/TBT/N/BRA/1522/Add.1</v>
      </c>
      <c r="D414" s="8" t="s">
        <v>2033</v>
      </c>
      <c r="E414" s="8" t="s">
        <v>2034</v>
      </c>
      <c r="F414" s="8" t="s">
        <v>2035</v>
      </c>
      <c r="G414" s="8" t="s">
        <v>43</v>
      </c>
      <c r="H414" s="8" t="s">
        <v>2036</v>
      </c>
      <c r="I414" s="8" t="s">
        <v>281</v>
      </c>
      <c r="J414" s="8" t="s">
        <v>43</v>
      </c>
      <c r="K414" s="8" t="s">
        <v>43</v>
      </c>
      <c r="L414" s="6"/>
      <c r="M414" s="7" t="s">
        <v>43</v>
      </c>
      <c r="N414" s="7"/>
      <c r="O414" s="7"/>
      <c r="P414" s="6" t="s">
        <v>44</v>
      </c>
      <c r="Q414" s="6"/>
      <c r="R414" t="str">
        <f>HYPERLINK("https://docs.wto.org/imrd/directdoc.asp?DDFDocuments/t/G/TBTN24/BRA1522A1.docx", "https://docs.wto.org/imrd/directdoc.asp?DDFDocuments/t/G/TBTN24/BRA1522A1.docx")</f>
        <v>https://docs.wto.org/imrd/directdoc.asp?DDFDocuments/t/G/TBTN24/BRA1522A1.docx</v>
      </c>
      <c r="S414" t="str">
        <f>HYPERLINK("https://docs.wto.org/imrd/directdoc.asp?DDFDocuments/u/G/TBTN24/BRA1522A1.docx", "https://docs.wto.org/imrd/directdoc.asp?DDFDocuments/u/G/TBTN24/BRA1522A1.docx")</f>
        <v>https://docs.wto.org/imrd/directdoc.asp?DDFDocuments/u/G/TBTN24/BRA1522A1.docx</v>
      </c>
      <c r="T414" t="str">
        <f>HYPERLINK("https://docs.wto.org/imrd/directdoc.asp?DDFDocuments/v/G/TBTN24/BRA1522A1.docx", "https://docs.wto.org/imrd/directdoc.asp?DDFDocuments/v/G/TBTN24/BRA1522A1.docx")</f>
        <v>https://docs.wto.org/imrd/directdoc.asp?DDFDocuments/v/G/TBTN24/BRA1522A1.docx</v>
      </c>
      <c r="U414" t="s">
        <v>64</v>
      </c>
      <c r="V414" t="s">
        <v>46</v>
      </c>
      <c r="W414" t="s">
        <v>46</v>
      </c>
      <c r="X414" t="s">
        <v>46</v>
      </c>
      <c r="Y414" t="s">
        <v>46</v>
      </c>
      <c r="Z414" t="s">
        <v>46</v>
      </c>
      <c r="AA414" t="s">
        <v>46</v>
      </c>
      <c r="AB414" s="2" t="s">
        <v>43</v>
      </c>
      <c r="AC414" t="s">
        <v>43</v>
      </c>
      <c r="AD414" t="s">
        <v>43</v>
      </c>
      <c r="AE414" t="s">
        <v>43</v>
      </c>
      <c r="AF414" t="s">
        <v>43</v>
      </c>
      <c r="AG414" t="s">
        <v>43</v>
      </c>
      <c r="AH414" s="2" t="s">
        <v>43</v>
      </c>
    </row>
    <row r="415" spans="1:34" ht="165">
      <c r="A415" s="6" t="s">
        <v>390</v>
      </c>
      <c r="B415" s="7">
        <v>46076</v>
      </c>
      <c r="C415" s="9" t="str">
        <f>HYPERLINK("https://eping.wto.org/en/Search?viewData= G/TBT/N/BDI/719, G/TBT/N/KEN/1988, G/TBT/N/RWA/1357, G/TBT/N/TZA/1503, G/TBT/N/UGA/2318"," G/TBT/N/BDI/719, G/TBT/N/KEN/1988, G/TBT/N/RWA/1357, G/TBT/N/TZA/1503, G/TBT/N/UGA/2318")</f>
        <v xml:space="preserve"> G/TBT/N/BDI/719, G/TBT/N/KEN/1988, G/TBT/N/RWA/1357, G/TBT/N/TZA/1503, G/TBT/N/UGA/2318</v>
      </c>
      <c r="D415" s="8" t="s">
        <v>2037</v>
      </c>
      <c r="E415" s="8" t="s">
        <v>2038</v>
      </c>
      <c r="F415" s="8" t="s">
        <v>2039</v>
      </c>
      <c r="G415" s="8" t="s">
        <v>2040</v>
      </c>
      <c r="H415" s="8" t="s">
        <v>2041</v>
      </c>
      <c r="I415" s="8" t="s">
        <v>2042</v>
      </c>
      <c r="J415" s="8" t="s">
        <v>43</v>
      </c>
      <c r="K415" s="8" t="s">
        <v>43</v>
      </c>
      <c r="L415" s="6"/>
      <c r="M415" s="7">
        <v>46136</v>
      </c>
      <c r="N415" s="7" t="s">
        <v>740</v>
      </c>
      <c r="O415" s="7" t="s">
        <v>79</v>
      </c>
      <c r="P415" s="6" t="s">
        <v>62</v>
      </c>
      <c r="Q415" s="8" t="s">
        <v>2043</v>
      </c>
      <c r="R415" t="str">
        <f>HYPERLINK("https://docs.wto.org/imrd/directdoc.asp?DDFDocuments/t/G/TBTN26/BDI719.docx", "https://docs.wto.org/imrd/directdoc.asp?DDFDocuments/t/G/TBTN26/BDI719.docx")</f>
        <v>https://docs.wto.org/imrd/directdoc.asp?DDFDocuments/t/G/TBTN26/BDI719.docx</v>
      </c>
      <c r="S415" t="str">
        <f>HYPERLINK("https://docs.wto.org/imrd/directdoc.asp?DDFDocuments/u/G/TBTN26/BDI719.docx", "https://docs.wto.org/imrd/directdoc.asp?DDFDocuments/u/G/TBTN26/BDI719.docx")</f>
        <v>https://docs.wto.org/imrd/directdoc.asp?DDFDocuments/u/G/TBTN26/BDI719.docx</v>
      </c>
      <c r="T415" t="str">
        <f>HYPERLINK("https://docs.wto.org/imrd/directdoc.asp?DDFDocuments/v/G/TBTN26/BDI719.docx", "https://docs.wto.org/imrd/directdoc.asp?DDFDocuments/v/G/TBTN26/BDI719.docx")</f>
        <v>https://docs.wto.org/imrd/directdoc.asp?DDFDocuments/v/G/TBTN26/BDI719.docx</v>
      </c>
      <c r="U415" t="s">
        <v>64</v>
      </c>
      <c r="V415" t="s">
        <v>46</v>
      </c>
      <c r="W415" t="s">
        <v>46</v>
      </c>
      <c r="X415" t="s">
        <v>46</v>
      </c>
      <c r="Y415" t="s">
        <v>46</v>
      </c>
      <c r="Z415" t="s">
        <v>46</v>
      </c>
      <c r="AA415" t="s">
        <v>46</v>
      </c>
      <c r="AB415" s="2" t="s">
        <v>2044</v>
      </c>
      <c r="AC415" t="s">
        <v>43</v>
      </c>
      <c r="AD415" t="s">
        <v>43</v>
      </c>
      <c r="AE415" t="s">
        <v>43</v>
      </c>
      <c r="AF415" t="s">
        <v>43</v>
      </c>
      <c r="AG415" t="s">
        <v>43</v>
      </c>
      <c r="AH415" s="2" t="s">
        <v>43</v>
      </c>
    </row>
    <row r="416" spans="1:34" ht="90">
      <c r="A416" s="6" t="s">
        <v>108</v>
      </c>
      <c r="B416" s="7">
        <v>46076</v>
      </c>
      <c r="C416" s="9" t="str">
        <f>HYPERLINK("https://eping.wto.org/en/Search?viewData= G/TBT/N/BDI/716, G/TBT/N/KEN/1985, G/TBT/N/RWA/1354, G/TBT/N/TZA/1500, G/TBT/N/UGA/2315"," G/TBT/N/BDI/716, G/TBT/N/KEN/1985, G/TBT/N/RWA/1354, G/TBT/N/TZA/1500, G/TBT/N/UGA/2315")</f>
        <v xml:space="preserve"> G/TBT/N/BDI/716, G/TBT/N/KEN/1985, G/TBT/N/RWA/1354, G/TBT/N/TZA/1500, G/TBT/N/UGA/2315</v>
      </c>
      <c r="D416" s="8" t="s">
        <v>2045</v>
      </c>
      <c r="E416" s="8" t="s">
        <v>2046</v>
      </c>
      <c r="F416" s="8" t="s">
        <v>2047</v>
      </c>
      <c r="G416" s="8" t="s">
        <v>2048</v>
      </c>
      <c r="H416" s="8" t="s">
        <v>2049</v>
      </c>
      <c r="I416" s="8" t="s">
        <v>2050</v>
      </c>
      <c r="J416" s="8" t="s">
        <v>43</v>
      </c>
      <c r="K416" s="8" t="s">
        <v>43</v>
      </c>
      <c r="L416" s="6"/>
      <c r="M416" s="7">
        <v>46136</v>
      </c>
      <c r="N416" s="7" t="s">
        <v>740</v>
      </c>
      <c r="O416" s="7" t="s">
        <v>79</v>
      </c>
      <c r="P416" s="6" t="s">
        <v>62</v>
      </c>
      <c r="Q416" s="8" t="s">
        <v>2051</v>
      </c>
      <c r="R416" t="str">
        <f>HYPERLINK("https://docs.wto.org/imrd/directdoc.asp?DDFDocuments/t/G/TBTN26/BDI716.docx", "https://docs.wto.org/imrd/directdoc.asp?DDFDocuments/t/G/TBTN26/BDI716.docx")</f>
        <v>https://docs.wto.org/imrd/directdoc.asp?DDFDocuments/t/G/TBTN26/BDI716.docx</v>
      </c>
      <c r="S416" t="str">
        <f>HYPERLINK("https://docs.wto.org/imrd/directdoc.asp?DDFDocuments/u/G/TBTN26/BDI716.docx", "https://docs.wto.org/imrd/directdoc.asp?DDFDocuments/u/G/TBTN26/BDI716.docx")</f>
        <v>https://docs.wto.org/imrd/directdoc.asp?DDFDocuments/u/G/TBTN26/BDI716.docx</v>
      </c>
      <c r="T416" t="str">
        <f>HYPERLINK("https://docs.wto.org/imrd/directdoc.asp?DDFDocuments/v/G/TBTN26/BDI716.docx", "https://docs.wto.org/imrd/directdoc.asp?DDFDocuments/v/G/TBTN26/BDI716.docx")</f>
        <v>https://docs.wto.org/imrd/directdoc.asp?DDFDocuments/v/G/TBTN26/BDI716.docx</v>
      </c>
      <c r="U416" t="s">
        <v>64</v>
      </c>
      <c r="V416" t="s">
        <v>46</v>
      </c>
      <c r="W416" t="s">
        <v>46</v>
      </c>
      <c r="X416" t="s">
        <v>46</v>
      </c>
      <c r="Y416" t="s">
        <v>46</v>
      </c>
      <c r="Z416" t="s">
        <v>46</v>
      </c>
      <c r="AA416" t="s">
        <v>46</v>
      </c>
      <c r="AB416" s="2" t="s">
        <v>2052</v>
      </c>
      <c r="AC416" t="s">
        <v>43</v>
      </c>
      <c r="AD416" t="s">
        <v>43</v>
      </c>
      <c r="AE416" t="s">
        <v>43</v>
      </c>
      <c r="AF416" t="s">
        <v>43</v>
      </c>
      <c r="AG416" t="s">
        <v>43</v>
      </c>
      <c r="AH416" s="2" t="s">
        <v>43</v>
      </c>
    </row>
    <row r="417" spans="1:34" ht="60">
      <c r="A417" s="6" t="s">
        <v>577</v>
      </c>
      <c r="B417" s="7">
        <v>46076</v>
      </c>
      <c r="C417" s="9" t="str">
        <f>HYPERLINK("https://eping.wto.org/en/Search?viewData= G/TBT/N/BDI/718, G/TBT/N/KEN/1987, G/TBT/N/RWA/1356, G/TBT/N/TZA/1502, G/TBT/N/UGA/2317"," G/TBT/N/BDI/718, G/TBT/N/KEN/1987, G/TBT/N/RWA/1356, G/TBT/N/TZA/1502, G/TBT/N/UGA/2317")</f>
        <v xml:space="preserve"> G/TBT/N/BDI/718, G/TBT/N/KEN/1987, G/TBT/N/RWA/1356, G/TBT/N/TZA/1502, G/TBT/N/UGA/2317</v>
      </c>
      <c r="D417" s="8" t="s">
        <v>2053</v>
      </c>
      <c r="E417" s="8" t="s">
        <v>2054</v>
      </c>
      <c r="F417" s="8" t="s">
        <v>2055</v>
      </c>
      <c r="G417" s="8" t="s">
        <v>2056</v>
      </c>
      <c r="H417" s="8" t="s">
        <v>2057</v>
      </c>
      <c r="I417" s="8" t="s">
        <v>2058</v>
      </c>
      <c r="J417" s="8" t="s">
        <v>43</v>
      </c>
      <c r="K417" s="8" t="s">
        <v>43</v>
      </c>
      <c r="L417" s="6"/>
      <c r="M417" s="7">
        <v>46136</v>
      </c>
      <c r="N417" s="7" t="s">
        <v>740</v>
      </c>
      <c r="O417" s="7" t="s">
        <v>79</v>
      </c>
      <c r="P417" s="6" t="s">
        <v>62</v>
      </c>
      <c r="Q417" s="8" t="s">
        <v>2059</v>
      </c>
      <c r="R417" t="str">
        <f>HYPERLINK("https://docs.wto.org/imrd/directdoc.asp?DDFDocuments/t/G/TBTN26/BDI718.docx", "https://docs.wto.org/imrd/directdoc.asp?DDFDocuments/t/G/TBTN26/BDI718.docx")</f>
        <v>https://docs.wto.org/imrd/directdoc.asp?DDFDocuments/t/G/TBTN26/BDI718.docx</v>
      </c>
      <c r="S417" t="str">
        <f>HYPERLINK("https://docs.wto.org/imrd/directdoc.asp?DDFDocuments/u/G/TBTN26/BDI718.docx", "https://docs.wto.org/imrd/directdoc.asp?DDFDocuments/u/G/TBTN26/BDI718.docx")</f>
        <v>https://docs.wto.org/imrd/directdoc.asp?DDFDocuments/u/G/TBTN26/BDI718.docx</v>
      </c>
      <c r="T417" t="str">
        <f>HYPERLINK("https://docs.wto.org/imrd/directdoc.asp?DDFDocuments/v/G/TBTN26/BDI718.docx", "https://docs.wto.org/imrd/directdoc.asp?DDFDocuments/v/G/TBTN26/BDI718.docx")</f>
        <v>https://docs.wto.org/imrd/directdoc.asp?DDFDocuments/v/G/TBTN26/BDI718.docx</v>
      </c>
      <c r="U417" t="s">
        <v>46</v>
      </c>
      <c r="V417" t="s">
        <v>46</v>
      </c>
      <c r="W417" t="s">
        <v>64</v>
      </c>
      <c r="X417" t="s">
        <v>46</v>
      </c>
      <c r="Y417" t="s">
        <v>46</v>
      </c>
      <c r="Z417" t="s">
        <v>46</v>
      </c>
      <c r="AA417" t="s">
        <v>46</v>
      </c>
      <c r="AB417" s="2" t="s">
        <v>2060</v>
      </c>
      <c r="AC417" t="s">
        <v>43</v>
      </c>
      <c r="AD417" t="s">
        <v>43</v>
      </c>
      <c r="AE417" t="s">
        <v>43</v>
      </c>
      <c r="AF417" t="s">
        <v>43</v>
      </c>
      <c r="AG417" t="s">
        <v>43</v>
      </c>
      <c r="AH417" s="2" t="s">
        <v>43</v>
      </c>
    </row>
    <row r="418" spans="1:34" ht="60">
      <c r="A418" s="6" t="s">
        <v>289</v>
      </c>
      <c r="B418" s="7">
        <v>46076</v>
      </c>
      <c r="C418" s="9" t="str">
        <f>HYPERLINK("https://eping.wto.org/en/Search?viewData= G/TBT/N/BRA/1621"," G/TBT/N/BRA/1621")</f>
        <v xml:space="preserve"> G/TBT/N/BRA/1621</v>
      </c>
      <c r="D418" s="8" t="s">
        <v>2061</v>
      </c>
      <c r="E418" s="8" t="s">
        <v>2062</v>
      </c>
      <c r="F418" s="8" t="s">
        <v>2063</v>
      </c>
      <c r="G418" s="8" t="s">
        <v>394</v>
      </c>
      <c r="H418" s="8" t="s">
        <v>1998</v>
      </c>
      <c r="I418" s="8" t="s">
        <v>129</v>
      </c>
      <c r="J418" s="8" t="s">
        <v>43</v>
      </c>
      <c r="K418" s="8" t="s">
        <v>240</v>
      </c>
      <c r="L418" s="6"/>
      <c r="M418" s="7">
        <v>46136</v>
      </c>
      <c r="N418" s="7" t="s">
        <v>1999</v>
      </c>
      <c r="O418" s="7" t="s">
        <v>1999</v>
      </c>
      <c r="P418" s="6" t="s">
        <v>62</v>
      </c>
      <c r="Q418" s="8" t="s">
        <v>2064</v>
      </c>
      <c r="R418" t="str">
        <f>HYPERLINK("https://docs.wto.org/imrd/directdoc.asp?DDFDocuments/t/G/TBTN26/BRA1621.docx", "https://docs.wto.org/imrd/directdoc.asp?DDFDocuments/t/G/TBTN26/BRA1621.docx")</f>
        <v>https://docs.wto.org/imrd/directdoc.asp?DDFDocuments/t/G/TBTN26/BRA1621.docx</v>
      </c>
      <c r="S418" t="str">
        <f>HYPERLINK("https://docs.wto.org/imrd/directdoc.asp?DDFDocuments/u/G/TBTN26/BRA1621.docx", "https://docs.wto.org/imrd/directdoc.asp?DDFDocuments/u/G/TBTN26/BRA1621.docx")</f>
        <v>https://docs.wto.org/imrd/directdoc.asp?DDFDocuments/u/G/TBTN26/BRA1621.docx</v>
      </c>
      <c r="T418" t="str">
        <f>HYPERLINK("https://docs.wto.org/imrd/directdoc.asp?DDFDocuments/v/G/TBTN26/BRA1621.docx", "https://docs.wto.org/imrd/directdoc.asp?DDFDocuments/v/G/TBTN26/BRA1621.docx")</f>
        <v>https://docs.wto.org/imrd/directdoc.asp?DDFDocuments/v/G/TBTN26/BRA1621.docx</v>
      </c>
      <c r="U418" t="s">
        <v>64</v>
      </c>
      <c r="V418" t="s">
        <v>46</v>
      </c>
      <c r="W418" t="s">
        <v>46</v>
      </c>
      <c r="X418" t="s">
        <v>46</v>
      </c>
      <c r="Y418" t="s">
        <v>46</v>
      </c>
      <c r="Z418" t="s">
        <v>46</v>
      </c>
      <c r="AA418" t="s">
        <v>46</v>
      </c>
      <c r="AB418" s="2" t="s">
        <v>2065</v>
      </c>
      <c r="AC418" t="s">
        <v>43</v>
      </c>
      <c r="AD418" t="s">
        <v>43</v>
      </c>
      <c r="AE418" t="s">
        <v>43</v>
      </c>
      <c r="AF418" t="s">
        <v>43</v>
      </c>
      <c r="AG418" t="s">
        <v>43</v>
      </c>
      <c r="AH418" s="2" t="s">
        <v>43</v>
      </c>
    </row>
    <row r="419" spans="1:34" ht="285">
      <c r="A419" s="6" t="s">
        <v>390</v>
      </c>
      <c r="B419" s="7">
        <v>46076</v>
      </c>
      <c r="C419" s="9" t="str">
        <f>HYPERLINK("https://eping.wto.org/en/Search?viewData= G/TBT/N/TZA/1504"," G/TBT/N/TZA/1504")</f>
        <v xml:space="preserve"> G/TBT/N/TZA/1504</v>
      </c>
      <c r="D419" s="8" t="s">
        <v>2066</v>
      </c>
      <c r="E419" s="8" t="s">
        <v>2067</v>
      </c>
      <c r="F419" s="8" t="s">
        <v>2068</v>
      </c>
      <c r="G419" s="8" t="s">
        <v>2069</v>
      </c>
      <c r="H419" s="8" t="s">
        <v>2070</v>
      </c>
      <c r="I419" s="8" t="s">
        <v>739</v>
      </c>
      <c r="J419" s="8" t="s">
        <v>43</v>
      </c>
      <c r="K419" s="8" t="s">
        <v>43</v>
      </c>
      <c r="L419" s="6"/>
      <c r="M419" s="7">
        <v>46136</v>
      </c>
      <c r="N419" s="7" t="s">
        <v>740</v>
      </c>
      <c r="O419" s="7" t="s">
        <v>79</v>
      </c>
      <c r="P419" s="6" t="s">
        <v>62</v>
      </c>
      <c r="Q419" s="8" t="s">
        <v>2071</v>
      </c>
      <c r="R419" t="str">
        <f>HYPERLINK("https://docs.wto.org/imrd/directdoc.asp?DDFDocuments/t/G/TBTN26/TZA1504.docx", "https://docs.wto.org/imrd/directdoc.asp?DDFDocuments/t/G/TBTN26/TZA1504.docx")</f>
        <v>https://docs.wto.org/imrd/directdoc.asp?DDFDocuments/t/G/TBTN26/TZA1504.docx</v>
      </c>
      <c r="S419" t="str">
        <f>HYPERLINK("https://docs.wto.org/imrd/directdoc.asp?DDFDocuments/u/G/TBTN26/TZA1504.docx", "https://docs.wto.org/imrd/directdoc.asp?DDFDocuments/u/G/TBTN26/TZA1504.docx")</f>
        <v>https://docs.wto.org/imrd/directdoc.asp?DDFDocuments/u/G/TBTN26/TZA1504.docx</v>
      </c>
      <c r="T419" t="str">
        <f>HYPERLINK("https://docs.wto.org/imrd/directdoc.asp?DDFDocuments/v/G/TBTN26/TZA1504.docx", "https://docs.wto.org/imrd/directdoc.asp?DDFDocuments/v/G/TBTN26/TZA1504.docx")</f>
        <v>https://docs.wto.org/imrd/directdoc.asp?DDFDocuments/v/G/TBTN26/TZA1504.docx</v>
      </c>
      <c r="U419" t="s">
        <v>64</v>
      </c>
      <c r="V419" t="s">
        <v>46</v>
      </c>
      <c r="W419" t="s">
        <v>46</v>
      </c>
      <c r="X419" t="s">
        <v>46</v>
      </c>
      <c r="Y419" t="s">
        <v>46</v>
      </c>
      <c r="Z419" t="s">
        <v>46</v>
      </c>
      <c r="AA419" t="s">
        <v>46</v>
      </c>
      <c r="AB419" s="2" t="s">
        <v>2072</v>
      </c>
      <c r="AC419" t="s">
        <v>43</v>
      </c>
      <c r="AD419" t="s">
        <v>43</v>
      </c>
      <c r="AE419" t="s">
        <v>43</v>
      </c>
      <c r="AF419" t="s">
        <v>43</v>
      </c>
      <c r="AG419" t="s">
        <v>43</v>
      </c>
      <c r="AH419" s="2" t="s">
        <v>43</v>
      </c>
    </row>
    <row r="420" spans="1:34" ht="45">
      <c r="A420" s="6" t="s">
        <v>880</v>
      </c>
      <c r="B420" s="7">
        <v>46076</v>
      </c>
      <c r="C420" s="9" t="str">
        <f>HYPERLINK("https://eping.wto.org/en/Search?viewData= G/SPS/N/ECU/377"," G/SPS/N/ECU/377")</f>
        <v xml:space="preserve"> G/SPS/N/ECU/377</v>
      </c>
      <c r="D420" s="8" t="s">
        <v>2073</v>
      </c>
      <c r="E420" s="8" t="s">
        <v>2074</v>
      </c>
      <c r="F420" s="8" t="s">
        <v>2075</v>
      </c>
      <c r="G420" s="8" t="s">
        <v>43</v>
      </c>
      <c r="H420" s="8" t="s">
        <v>43</v>
      </c>
      <c r="I420" s="8" t="s">
        <v>254</v>
      </c>
      <c r="J420" s="8" t="s">
        <v>43</v>
      </c>
      <c r="K420" s="8" t="s">
        <v>512</v>
      </c>
      <c r="L420" s="6" t="s">
        <v>249</v>
      </c>
      <c r="M420" s="7">
        <v>46136</v>
      </c>
      <c r="N420" s="7" t="s">
        <v>79</v>
      </c>
      <c r="O420" s="7" t="s">
        <v>79</v>
      </c>
      <c r="P420" s="6" t="s">
        <v>62</v>
      </c>
      <c r="Q420" s="8" t="s">
        <v>2076</v>
      </c>
      <c r="R420" t="str">
        <f>HYPERLINK("https://docs.wto.org/imrd/directdoc.asp?DDFDocuments/t/G/SPS/NECU377.docx", "https://docs.wto.org/imrd/directdoc.asp?DDFDocuments/t/G/SPS/NECU377.docx")</f>
        <v>https://docs.wto.org/imrd/directdoc.asp?DDFDocuments/t/G/SPS/NECU377.docx</v>
      </c>
      <c r="S420" t="str">
        <f>HYPERLINK("https://docs.wto.org/imrd/directdoc.asp?DDFDocuments/u/G/SPS/NECU377.docx", "https://docs.wto.org/imrd/directdoc.asp?DDFDocuments/u/G/SPS/NECU377.docx")</f>
        <v>https://docs.wto.org/imrd/directdoc.asp?DDFDocuments/u/G/SPS/NECU377.docx</v>
      </c>
      <c r="T420" t="str">
        <f>HYPERLINK("https://docs.wto.org/imrd/directdoc.asp?DDFDocuments/v/G/SPS/NECU377.docx", "https://docs.wto.org/imrd/directdoc.asp?DDFDocuments/v/G/SPS/NECU377.docx")</f>
        <v>https://docs.wto.org/imrd/directdoc.asp?DDFDocuments/v/G/SPS/NECU377.docx</v>
      </c>
      <c r="U420" t="s">
        <v>43</v>
      </c>
      <c r="V420" t="s">
        <v>43</v>
      </c>
      <c r="W420" t="s">
        <v>43</v>
      </c>
      <c r="X420" t="s">
        <v>43</v>
      </c>
      <c r="Y420" t="s">
        <v>43</v>
      </c>
      <c r="Z420" t="s">
        <v>43</v>
      </c>
      <c r="AA420" t="s">
        <v>43</v>
      </c>
      <c r="AB420" s="2" t="s">
        <v>43</v>
      </c>
      <c r="AC420" t="s">
        <v>46</v>
      </c>
      <c r="AD420" t="s">
        <v>46</v>
      </c>
      <c r="AE420" t="s">
        <v>46</v>
      </c>
      <c r="AF420" t="s">
        <v>64</v>
      </c>
      <c r="AG420" t="s">
        <v>99</v>
      </c>
      <c r="AH420" s="2" t="s">
        <v>43</v>
      </c>
    </row>
    <row r="421" spans="1:34" ht="60">
      <c r="A421" s="6" t="s">
        <v>880</v>
      </c>
      <c r="B421" s="7">
        <v>46076</v>
      </c>
      <c r="C421" s="9" t="str">
        <f>HYPERLINK("https://eping.wto.org/en/Search?viewData= G/SPS/N/ECU/383"," G/SPS/N/ECU/383")</f>
        <v xml:space="preserve"> G/SPS/N/ECU/383</v>
      </c>
      <c r="D421" s="8" t="s">
        <v>2077</v>
      </c>
      <c r="E421" s="8" t="s">
        <v>2078</v>
      </c>
      <c r="F421" s="8" t="s">
        <v>2079</v>
      </c>
      <c r="G421" s="8" t="s">
        <v>2080</v>
      </c>
      <c r="H421" s="8" t="s">
        <v>43</v>
      </c>
      <c r="I421" s="8" t="s">
        <v>254</v>
      </c>
      <c r="J421" s="8" t="s">
        <v>43</v>
      </c>
      <c r="K421" s="8" t="s">
        <v>512</v>
      </c>
      <c r="L421" s="6" t="s">
        <v>2081</v>
      </c>
      <c r="M421" s="7" t="s">
        <v>43</v>
      </c>
      <c r="N421" s="7">
        <v>45897</v>
      </c>
      <c r="O421" s="7">
        <v>45897</v>
      </c>
      <c r="P421" s="6" t="s">
        <v>62</v>
      </c>
      <c r="Q421" s="8" t="s">
        <v>2082</v>
      </c>
      <c r="R421" t="str">
        <f>HYPERLINK("https://docs.wto.org/imrd/directdoc.asp?DDFDocuments/t/G/SPS/NECU383.docx", "https://docs.wto.org/imrd/directdoc.asp?DDFDocuments/t/G/SPS/NECU383.docx")</f>
        <v>https://docs.wto.org/imrd/directdoc.asp?DDFDocuments/t/G/SPS/NECU383.docx</v>
      </c>
      <c r="S421" t="str">
        <f>HYPERLINK("https://docs.wto.org/imrd/directdoc.asp?DDFDocuments/u/G/SPS/NECU383.docx", "https://docs.wto.org/imrd/directdoc.asp?DDFDocuments/u/G/SPS/NECU383.docx")</f>
        <v>https://docs.wto.org/imrd/directdoc.asp?DDFDocuments/u/G/SPS/NECU383.docx</v>
      </c>
      <c r="T421" t="str">
        <f>HYPERLINK("https://docs.wto.org/imrd/directdoc.asp?DDFDocuments/v/G/SPS/NECU383.docx", "https://docs.wto.org/imrd/directdoc.asp?DDFDocuments/v/G/SPS/NECU383.docx")</f>
        <v>https://docs.wto.org/imrd/directdoc.asp?DDFDocuments/v/G/SPS/NECU383.docx</v>
      </c>
      <c r="U421" t="s">
        <v>43</v>
      </c>
      <c r="V421" t="s">
        <v>43</v>
      </c>
      <c r="W421" t="s">
        <v>43</v>
      </c>
      <c r="X421" t="s">
        <v>43</v>
      </c>
      <c r="Y421" t="s">
        <v>43</v>
      </c>
      <c r="Z421" t="s">
        <v>43</v>
      </c>
      <c r="AA421" t="s">
        <v>43</v>
      </c>
      <c r="AB421" s="2" t="s">
        <v>43</v>
      </c>
      <c r="AC421" t="s">
        <v>46</v>
      </c>
      <c r="AD421" t="s">
        <v>46</v>
      </c>
      <c r="AE421" t="s">
        <v>64</v>
      </c>
      <c r="AF421" t="s">
        <v>46</v>
      </c>
      <c r="AG421" t="s">
        <v>64</v>
      </c>
      <c r="AH421" s="2" t="s">
        <v>2083</v>
      </c>
    </row>
    <row r="422" spans="1:34" ht="45">
      <c r="A422" s="6" t="s">
        <v>880</v>
      </c>
      <c r="B422" s="7">
        <v>46076</v>
      </c>
      <c r="C422" s="9" t="str">
        <f>HYPERLINK("https://eping.wto.org/en/Search?viewData= G/SPS/N/ECU/381"," G/SPS/N/ECU/381")</f>
        <v xml:space="preserve"> G/SPS/N/ECU/381</v>
      </c>
      <c r="D422" s="8" t="s">
        <v>2084</v>
      </c>
      <c r="E422" s="8" t="s">
        <v>2085</v>
      </c>
      <c r="F422" s="8" t="s">
        <v>2086</v>
      </c>
      <c r="G422" s="8" t="s">
        <v>43</v>
      </c>
      <c r="H422" s="8" t="s">
        <v>43</v>
      </c>
      <c r="I422" s="8" t="s">
        <v>254</v>
      </c>
      <c r="J422" s="8" t="s">
        <v>43</v>
      </c>
      <c r="K422" s="8" t="s">
        <v>512</v>
      </c>
      <c r="L422" s="6" t="s">
        <v>249</v>
      </c>
      <c r="M422" s="7">
        <v>46136</v>
      </c>
      <c r="N422" s="7" t="s">
        <v>79</v>
      </c>
      <c r="O422" s="7" t="s">
        <v>79</v>
      </c>
      <c r="P422" s="6" t="s">
        <v>62</v>
      </c>
      <c r="Q422" s="8" t="s">
        <v>2087</v>
      </c>
      <c r="R422" t="str">
        <f>HYPERLINK("https://docs.wto.org/imrd/directdoc.asp?DDFDocuments/t/G/SPS/NECU381.docx", "https://docs.wto.org/imrd/directdoc.asp?DDFDocuments/t/G/SPS/NECU381.docx")</f>
        <v>https://docs.wto.org/imrd/directdoc.asp?DDFDocuments/t/G/SPS/NECU381.docx</v>
      </c>
      <c r="S422" t="str">
        <f>HYPERLINK("https://docs.wto.org/imrd/directdoc.asp?DDFDocuments/u/G/SPS/NECU381.docx", "https://docs.wto.org/imrd/directdoc.asp?DDFDocuments/u/G/SPS/NECU381.docx")</f>
        <v>https://docs.wto.org/imrd/directdoc.asp?DDFDocuments/u/G/SPS/NECU381.docx</v>
      </c>
      <c r="T422" t="str">
        <f>HYPERLINK("https://docs.wto.org/imrd/directdoc.asp?DDFDocuments/v/G/SPS/NECU381.docx", "https://docs.wto.org/imrd/directdoc.asp?DDFDocuments/v/G/SPS/NECU381.docx")</f>
        <v>https://docs.wto.org/imrd/directdoc.asp?DDFDocuments/v/G/SPS/NECU381.docx</v>
      </c>
      <c r="U422" t="s">
        <v>43</v>
      </c>
      <c r="V422" t="s">
        <v>43</v>
      </c>
      <c r="W422" t="s">
        <v>43</v>
      </c>
      <c r="X422" t="s">
        <v>43</v>
      </c>
      <c r="Y422" t="s">
        <v>43</v>
      </c>
      <c r="Z422" t="s">
        <v>43</v>
      </c>
      <c r="AA422" t="s">
        <v>43</v>
      </c>
      <c r="AB422" s="2" t="s">
        <v>43</v>
      </c>
      <c r="AC422" t="s">
        <v>46</v>
      </c>
      <c r="AD422" t="s">
        <v>46</v>
      </c>
      <c r="AE422" t="s">
        <v>46</v>
      </c>
      <c r="AF422" t="s">
        <v>64</v>
      </c>
      <c r="AG422" t="s">
        <v>99</v>
      </c>
      <c r="AH422" s="2" t="s">
        <v>43</v>
      </c>
    </row>
    <row r="423" spans="1:34" ht="285">
      <c r="A423" s="6" t="s">
        <v>269</v>
      </c>
      <c r="B423" s="7">
        <v>46076</v>
      </c>
      <c r="C423" s="9" t="str">
        <f>HYPERLINK("https://eping.wto.org/en/Search?viewData= G/SPS/N/IDN/157"," G/SPS/N/IDN/157")</f>
        <v xml:space="preserve"> G/SPS/N/IDN/157</v>
      </c>
      <c r="D423" s="8" t="s">
        <v>2088</v>
      </c>
      <c r="E423" s="8" t="s">
        <v>2089</v>
      </c>
      <c r="F423" s="8" t="s">
        <v>272</v>
      </c>
      <c r="G423" s="8" t="s">
        <v>273</v>
      </c>
      <c r="H423" s="8" t="s">
        <v>43</v>
      </c>
      <c r="I423" s="8" t="s">
        <v>2090</v>
      </c>
      <c r="J423" s="8" t="s">
        <v>43</v>
      </c>
      <c r="K423" s="8" t="s">
        <v>2091</v>
      </c>
      <c r="L423" s="6" t="s">
        <v>43</v>
      </c>
      <c r="M423" s="7" t="s">
        <v>43</v>
      </c>
      <c r="N423" s="7">
        <v>45971</v>
      </c>
      <c r="O423" s="7" t="s">
        <v>2092</v>
      </c>
      <c r="P423" s="6" t="s">
        <v>62</v>
      </c>
      <c r="Q423" s="8" t="s">
        <v>2093</v>
      </c>
      <c r="R423" t="str">
        <f>HYPERLINK("https://docs.wto.org/imrd/directdoc.asp?DDFDocuments/t/G/SPS/NIDN157.docx", "https://docs.wto.org/imrd/directdoc.asp?DDFDocuments/t/G/SPS/NIDN157.docx")</f>
        <v>https://docs.wto.org/imrd/directdoc.asp?DDFDocuments/t/G/SPS/NIDN157.docx</v>
      </c>
      <c r="S423" t="str">
        <f>HYPERLINK("https://docs.wto.org/imrd/directdoc.asp?DDFDocuments/u/G/SPS/NIDN157.docx", "https://docs.wto.org/imrd/directdoc.asp?DDFDocuments/u/G/SPS/NIDN157.docx")</f>
        <v>https://docs.wto.org/imrd/directdoc.asp?DDFDocuments/u/G/SPS/NIDN157.docx</v>
      </c>
      <c r="T423" t="str">
        <f>HYPERLINK("https://docs.wto.org/imrd/directdoc.asp?DDFDocuments/v/G/SPS/NIDN157.docx", "https://docs.wto.org/imrd/directdoc.asp?DDFDocuments/v/G/SPS/NIDN157.docx")</f>
        <v>https://docs.wto.org/imrd/directdoc.asp?DDFDocuments/v/G/SPS/NIDN157.docx</v>
      </c>
      <c r="U423" t="s">
        <v>43</v>
      </c>
      <c r="V423" t="s">
        <v>43</v>
      </c>
      <c r="W423" t="s">
        <v>43</v>
      </c>
      <c r="X423" t="s">
        <v>43</v>
      </c>
      <c r="Y423" t="s">
        <v>43</v>
      </c>
      <c r="Z423" t="s">
        <v>43</v>
      </c>
      <c r="AA423" t="s">
        <v>43</v>
      </c>
      <c r="AB423" s="2" t="s">
        <v>43</v>
      </c>
      <c r="AC423" t="s">
        <v>64</v>
      </c>
      <c r="AD423" t="s">
        <v>64</v>
      </c>
      <c r="AE423" t="s">
        <v>46</v>
      </c>
      <c r="AF423" t="s">
        <v>46</v>
      </c>
      <c r="AG423" t="s">
        <v>64</v>
      </c>
      <c r="AH423" s="2" t="s">
        <v>43</v>
      </c>
    </row>
    <row r="424" spans="1:34" ht="45">
      <c r="A424" s="6" t="s">
        <v>880</v>
      </c>
      <c r="B424" s="7">
        <v>46076</v>
      </c>
      <c r="C424" s="9" t="str">
        <f>HYPERLINK("https://eping.wto.org/en/Search?viewData= G/SPS/N/ECU/380"," G/SPS/N/ECU/380")</f>
        <v xml:space="preserve"> G/SPS/N/ECU/380</v>
      </c>
      <c r="D424" s="8" t="s">
        <v>2094</v>
      </c>
      <c r="E424" s="8" t="s">
        <v>2095</v>
      </c>
      <c r="F424" s="8" t="s">
        <v>2096</v>
      </c>
      <c r="G424" s="8" t="s">
        <v>43</v>
      </c>
      <c r="H424" s="8" t="s">
        <v>43</v>
      </c>
      <c r="I424" s="8" t="s">
        <v>254</v>
      </c>
      <c r="J424" s="8" t="s">
        <v>43</v>
      </c>
      <c r="K424" s="8" t="s">
        <v>512</v>
      </c>
      <c r="L424" s="6" t="s">
        <v>249</v>
      </c>
      <c r="M424" s="7">
        <v>46136</v>
      </c>
      <c r="N424" s="7" t="s">
        <v>79</v>
      </c>
      <c r="O424" s="7" t="s">
        <v>79</v>
      </c>
      <c r="P424" s="6" t="s">
        <v>62</v>
      </c>
      <c r="Q424" s="8" t="s">
        <v>2097</v>
      </c>
      <c r="R424" t="str">
        <f>HYPERLINK("https://docs.wto.org/imrd/directdoc.asp?DDFDocuments/t/G/SPS/NECU380.docx", "https://docs.wto.org/imrd/directdoc.asp?DDFDocuments/t/G/SPS/NECU380.docx")</f>
        <v>https://docs.wto.org/imrd/directdoc.asp?DDFDocuments/t/G/SPS/NECU380.docx</v>
      </c>
      <c r="S424" t="str">
        <f>HYPERLINK("https://docs.wto.org/imrd/directdoc.asp?DDFDocuments/u/G/SPS/NECU380.docx", "https://docs.wto.org/imrd/directdoc.asp?DDFDocuments/u/G/SPS/NECU380.docx")</f>
        <v>https://docs.wto.org/imrd/directdoc.asp?DDFDocuments/u/G/SPS/NECU380.docx</v>
      </c>
      <c r="T424" t="str">
        <f>HYPERLINK("https://docs.wto.org/imrd/directdoc.asp?DDFDocuments/v/G/SPS/NECU380.docx", "https://docs.wto.org/imrd/directdoc.asp?DDFDocuments/v/G/SPS/NECU380.docx")</f>
        <v>https://docs.wto.org/imrd/directdoc.asp?DDFDocuments/v/G/SPS/NECU380.docx</v>
      </c>
      <c r="U424" t="s">
        <v>43</v>
      </c>
      <c r="V424" t="s">
        <v>43</v>
      </c>
      <c r="W424" t="s">
        <v>43</v>
      </c>
      <c r="X424" t="s">
        <v>43</v>
      </c>
      <c r="Y424" t="s">
        <v>43</v>
      </c>
      <c r="Z424" t="s">
        <v>43</v>
      </c>
      <c r="AA424" t="s">
        <v>43</v>
      </c>
      <c r="AB424" s="2" t="s">
        <v>43</v>
      </c>
      <c r="AC424" t="s">
        <v>46</v>
      </c>
      <c r="AD424" t="s">
        <v>46</v>
      </c>
      <c r="AE424" t="s">
        <v>46</v>
      </c>
      <c r="AF424" t="s">
        <v>64</v>
      </c>
      <c r="AG424" t="s">
        <v>99</v>
      </c>
      <c r="AH424" s="2" t="s">
        <v>43</v>
      </c>
    </row>
    <row r="425" spans="1:34" ht="210">
      <c r="A425" s="6" t="s">
        <v>108</v>
      </c>
      <c r="B425" s="7">
        <v>46076</v>
      </c>
      <c r="C425" s="9" t="str">
        <f>HYPERLINK("https://eping.wto.org/en/Search?viewData= G/TBT/N/RWA/1351"," G/TBT/N/RWA/1351")</f>
        <v xml:space="preserve"> G/TBT/N/RWA/1351</v>
      </c>
      <c r="D425" s="8" t="s">
        <v>2098</v>
      </c>
      <c r="E425" s="8" t="s">
        <v>2099</v>
      </c>
      <c r="F425" s="8" t="s">
        <v>2100</v>
      </c>
      <c r="G425" s="8" t="s">
        <v>43</v>
      </c>
      <c r="H425" s="8" t="s">
        <v>2101</v>
      </c>
      <c r="I425" s="8" t="s">
        <v>113</v>
      </c>
      <c r="J425" s="8" t="s">
        <v>43</v>
      </c>
      <c r="K425" s="8" t="s">
        <v>43</v>
      </c>
      <c r="L425" s="6"/>
      <c r="M425" s="7">
        <v>46136</v>
      </c>
      <c r="N425" s="7" t="s">
        <v>79</v>
      </c>
      <c r="O425" s="7" t="s">
        <v>114</v>
      </c>
      <c r="P425" s="6" t="s">
        <v>62</v>
      </c>
      <c r="Q425" s="8" t="s">
        <v>2102</v>
      </c>
      <c r="R425" t="str">
        <f>HYPERLINK("https://docs.wto.org/imrd/directdoc.asp?DDFDocuments/t/G/TBTN26/RWA1351.docx", "https://docs.wto.org/imrd/directdoc.asp?DDFDocuments/t/G/TBTN26/RWA1351.docx")</f>
        <v>https://docs.wto.org/imrd/directdoc.asp?DDFDocuments/t/G/TBTN26/RWA1351.docx</v>
      </c>
      <c r="S425" t="str">
        <f>HYPERLINK("https://docs.wto.org/imrd/directdoc.asp?DDFDocuments/u/G/TBTN26/RWA1351.docx", "https://docs.wto.org/imrd/directdoc.asp?DDFDocuments/u/G/TBTN26/RWA1351.docx")</f>
        <v>https://docs.wto.org/imrd/directdoc.asp?DDFDocuments/u/G/TBTN26/RWA1351.docx</v>
      </c>
      <c r="T425" t="str">
        <f>HYPERLINK("https://docs.wto.org/imrd/directdoc.asp?DDFDocuments/v/G/TBTN26/RWA1351.docx", "https://docs.wto.org/imrd/directdoc.asp?DDFDocuments/v/G/TBTN26/RWA1351.docx")</f>
        <v>https://docs.wto.org/imrd/directdoc.asp?DDFDocuments/v/G/TBTN26/RWA1351.docx</v>
      </c>
      <c r="U425" t="s">
        <v>64</v>
      </c>
      <c r="V425" t="s">
        <v>46</v>
      </c>
      <c r="W425" t="s">
        <v>46</v>
      </c>
      <c r="X425" t="s">
        <v>46</v>
      </c>
      <c r="Y425" t="s">
        <v>46</v>
      </c>
      <c r="Z425" t="s">
        <v>46</v>
      </c>
      <c r="AA425" t="s">
        <v>46</v>
      </c>
      <c r="AB425" s="2" t="s">
        <v>2103</v>
      </c>
      <c r="AC425" t="s">
        <v>43</v>
      </c>
      <c r="AD425" t="s">
        <v>43</v>
      </c>
      <c r="AE425" t="s">
        <v>43</v>
      </c>
      <c r="AF425" t="s">
        <v>43</v>
      </c>
      <c r="AG425" t="s">
        <v>43</v>
      </c>
      <c r="AH425" s="2" t="s">
        <v>43</v>
      </c>
    </row>
    <row r="426" spans="1:34" ht="90">
      <c r="A426" s="6" t="s">
        <v>108</v>
      </c>
      <c r="B426" s="7">
        <v>46076</v>
      </c>
      <c r="C426" s="9" t="str">
        <f>HYPERLINK("https://eping.wto.org/en/Search?viewData= G/TBT/N/RWA/1352"," G/TBT/N/RWA/1352")</f>
        <v xml:space="preserve"> G/TBT/N/RWA/1352</v>
      </c>
      <c r="D426" s="8" t="s">
        <v>2104</v>
      </c>
      <c r="E426" s="8" t="s">
        <v>2105</v>
      </c>
      <c r="F426" s="8" t="s">
        <v>2106</v>
      </c>
      <c r="G426" s="8" t="s">
        <v>43</v>
      </c>
      <c r="H426" s="8" t="s">
        <v>2107</v>
      </c>
      <c r="I426" s="8" t="s">
        <v>113</v>
      </c>
      <c r="J426" s="8" t="s">
        <v>43</v>
      </c>
      <c r="K426" s="8" t="s">
        <v>43</v>
      </c>
      <c r="L426" s="6"/>
      <c r="M426" s="7">
        <v>46136</v>
      </c>
      <c r="N426" s="7" t="s">
        <v>79</v>
      </c>
      <c r="O426" s="7" t="s">
        <v>114</v>
      </c>
      <c r="P426" s="6" t="s">
        <v>62</v>
      </c>
      <c r="Q426" s="8" t="s">
        <v>2108</v>
      </c>
      <c r="R426" t="str">
        <f>HYPERLINK("https://docs.wto.org/imrd/directdoc.asp?DDFDocuments/t/G/TBTN26/RWA1352.docx", "https://docs.wto.org/imrd/directdoc.asp?DDFDocuments/t/G/TBTN26/RWA1352.docx")</f>
        <v>https://docs.wto.org/imrd/directdoc.asp?DDFDocuments/t/G/TBTN26/RWA1352.docx</v>
      </c>
      <c r="S426" t="str">
        <f>HYPERLINK("https://docs.wto.org/imrd/directdoc.asp?DDFDocuments/u/G/TBTN26/RWA1352.docx", "https://docs.wto.org/imrd/directdoc.asp?DDFDocuments/u/G/TBTN26/RWA1352.docx")</f>
        <v>https://docs.wto.org/imrd/directdoc.asp?DDFDocuments/u/G/TBTN26/RWA1352.docx</v>
      </c>
      <c r="T426" t="str">
        <f>HYPERLINK("https://docs.wto.org/imrd/directdoc.asp?DDFDocuments/v/G/TBTN26/RWA1352.docx", "https://docs.wto.org/imrd/directdoc.asp?DDFDocuments/v/G/TBTN26/RWA1352.docx")</f>
        <v>https://docs.wto.org/imrd/directdoc.asp?DDFDocuments/v/G/TBTN26/RWA1352.docx</v>
      </c>
      <c r="U426" t="s">
        <v>64</v>
      </c>
      <c r="V426" t="s">
        <v>46</v>
      </c>
      <c r="W426" t="s">
        <v>46</v>
      </c>
      <c r="X426" t="s">
        <v>46</v>
      </c>
      <c r="Y426" t="s">
        <v>46</v>
      </c>
      <c r="Z426" t="s">
        <v>46</v>
      </c>
      <c r="AA426" t="s">
        <v>46</v>
      </c>
      <c r="AB426" s="2" t="s">
        <v>2109</v>
      </c>
      <c r="AC426" t="s">
        <v>43</v>
      </c>
      <c r="AD426" t="s">
        <v>43</v>
      </c>
      <c r="AE426" t="s">
        <v>43</v>
      </c>
      <c r="AF426" t="s">
        <v>43</v>
      </c>
      <c r="AG426" t="s">
        <v>43</v>
      </c>
      <c r="AH426" s="2" t="s">
        <v>43</v>
      </c>
    </row>
    <row r="427" spans="1:34" ht="60">
      <c r="A427" s="6" t="s">
        <v>509</v>
      </c>
      <c r="B427" s="7">
        <v>46076</v>
      </c>
      <c r="C427" s="9" t="str">
        <f>HYPERLINK("https://eping.wto.org/en/Search?viewData= G/TBT/N/BDI/718, G/TBT/N/KEN/1987, G/TBT/N/RWA/1356, G/TBT/N/TZA/1502, G/TBT/N/UGA/2317"," G/TBT/N/BDI/718, G/TBT/N/KEN/1987, G/TBT/N/RWA/1356, G/TBT/N/TZA/1502, G/TBT/N/UGA/2317")</f>
        <v xml:space="preserve"> G/TBT/N/BDI/718, G/TBT/N/KEN/1987, G/TBT/N/RWA/1356, G/TBT/N/TZA/1502, G/TBT/N/UGA/2317</v>
      </c>
      <c r="D427" s="8" t="s">
        <v>2053</v>
      </c>
      <c r="E427" s="8" t="s">
        <v>2054</v>
      </c>
      <c r="F427" s="8" t="s">
        <v>2055</v>
      </c>
      <c r="G427" s="8" t="s">
        <v>2056</v>
      </c>
      <c r="H427" s="8" t="s">
        <v>2057</v>
      </c>
      <c r="I427" s="8" t="s">
        <v>2058</v>
      </c>
      <c r="J427" s="8" t="s">
        <v>43</v>
      </c>
      <c r="K427" s="8" t="s">
        <v>43</v>
      </c>
      <c r="L427" s="6"/>
      <c r="M427" s="7">
        <v>46136</v>
      </c>
      <c r="N427" s="7" t="s">
        <v>740</v>
      </c>
      <c r="O427" s="7" t="s">
        <v>79</v>
      </c>
      <c r="P427" s="6" t="s">
        <v>62</v>
      </c>
      <c r="Q427" s="8" t="s">
        <v>2059</v>
      </c>
      <c r="R427" t="str">
        <f>HYPERLINK("https://docs.wto.org/imrd/directdoc.asp?DDFDocuments/t/G/TBTN26/BDI718.docx", "https://docs.wto.org/imrd/directdoc.asp?DDFDocuments/t/G/TBTN26/BDI718.docx")</f>
        <v>https://docs.wto.org/imrd/directdoc.asp?DDFDocuments/t/G/TBTN26/BDI718.docx</v>
      </c>
      <c r="S427" t="str">
        <f>HYPERLINK("https://docs.wto.org/imrd/directdoc.asp?DDFDocuments/u/G/TBTN26/BDI718.docx", "https://docs.wto.org/imrd/directdoc.asp?DDFDocuments/u/G/TBTN26/BDI718.docx")</f>
        <v>https://docs.wto.org/imrd/directdoc.asp?DDFDocuments/u/G/TBTN26/BDI718.docx</v>
      </c>
      <c r="T427" t="str">
        <f>HYPERLINK("https://docs.wto.org/imrd/directdoc.asp?DDFDocuments/v/G/TBTN26/BDI718.docx", "https://docs.wto.org/imrd/directdoc.asp?DDFDocuments/v/G/TBTN26/BDI718.docx")</f>
        <v>https://docs.wto.org/imrd/directdoc.asp?DDFDocuments/v/G/TBTN26/BDI718.docx</v>
      </c>
      <c r="U427" t="s">
        <v>46</v>
      </c>
      <c r="V427" t="s">
        <v>46</v>
      </c>
      <c r="W427" t="s">
        <v>64</v>
      </c>
      <c r="X427" t="s">
        <v>46</v>
      </c>
      <c r="Y427" t="s">
        <v>46</v>
      </c>
      <c r="Z427" t="s">
        <v>46</v>
      </c>
      <c r="AA427" t="s">
        <v>46</v>
      </c>
      <c r="AB427" s="2" t="s">
        <v>2060</v>
      </c>
      <c r="AC427" t="s">
        <v>43</v>
      </c>
      <c r="AD427" t="s">
        <v>43</v>
      </c>
      <c r="AE427" t="s">
        <v>43</v>
      </c>
      <c r="AF427" t="s">
        <v>43</v>
      </c>
      <c r="AG427" t="s">
        <v>43</v>
      </c>
      <c r="AH427" s="2" t="s">
        <v>43</v>
      </c>
    </row>
    <row r="428" spans="1:34" ht="45">
      <c r="A428" s="6" t="s">
        <v>880</v>
      </c>
      <c r="B428" s="7">
        <v>46076</v>
      </c>
      <c r="C428" s="9" t="str">
        <f>HYPERLINK("https://eping.wto.org/en/Search?viewData= G/SPS/N/ECU/378"," G/SPS/N/ECU/378")</f>
        <v xml:space="preserve"> G/SPS/N/ECU/378</v>
      </c>
      <c r="D428" s="8" t="s">
        <v>2110</v>
      </c>
      <c r="E428" s="8" t="s">
        <v>2111</v>
      </c>
      <c r="F428" s="8" t="s">
        <v>2112</v>
      </c>
      <c r="G428" s="8" t="s">
        <v>43</v>
      </c>
      <c r="H428" s="8" t="s">
        <v>43</v>
      </c>
      <c r="I428" s="8" t="s">
        <v>254</v>
      </c>
      <c r="J428" s="8" t="s">
        <v>43</v>
      </c>
      <c r="K428" s="8" t="s">
        <v>512</v>
      </c>
      <c r="L428" s="6" t="s">
        <v>249</v>
      </c>
      <c r="M428" s="7">
        <v>46136</v>
      </c>
      <c r="N428" s="7" t="s">
        <v>79</v>
      </c>
      <c r="O428" s="7" t="s">
        <v>79</v>
      </c>
      <c r="P428" s="6" t="s">
        <v>62</v>
      </c>
      <c r="Q428" s="8" t="s">
        <v>2113</v>
      </c>
      <c r="R428" t="str">
        <f>HYPERLINK("https://docs.wto.org/imrd/directdoc.asp?DDFDocuments/t/G/SPS/NECU378.docx", "https://docs.wto.org/imrd/directdoc.asp?DDFDocuments/t/G/SPS/NECU378.docx")</f>
        <v>https://docs.wto.org/imrd/directdoc.asp?DDFDocuments/t/G/SPS/NECU378.docx</v>
      </c>
      <c r="S428" t="str">
        <f>HYPERLINK("https://docs.wto.org/imrd/directdoc.asp?DDFDocuments/u/G/SPS/NECU378.docx", "https://docs.wto.org/imrd/directdoc.asp?DDFDocuments/u/G/SPS/NECU378.docx")</f>
        <v>https://docs.wto.org/imrd/directdoc.asp?DDFDocuments/u/G/SPS/NECU378.docx</v>
      </c>
      <c r="T428" t="str">
        <f>HYPERLINK("https://docs.wto.org/imrd/directdoc.asp?DDFDocuments/v/G/SPS/NECU378.docx", "https://docs.wto.org/imrd/directdoc.asp?DDFDocuments/v/G/SPS/NECU378.docx")</f>
        <v>https://docs.wto.org/imrd/directdoc.asp?DDFDocuments/v/G/SPS/NECU378.docx</v>
      </c>
      <c r="U428" t="s">
        <v>43</v>
      </c>
      <c r="V428" t="s">
        <v>43</v>
      </c>
      <c r="W428" t="s">
        <v>43</v>
      </c>
      <c r="X428" t="s">
        <v>43</v>
      </c>
      <c r="Y428" t="s">
        <v>43</v>
      </c>
      <c r="Z428" t="s">
        <v>43</v>
      </c>
      <c r="AA428" t="s">
        <v>43</v>
      </c>
      <c r="AB428" s="2" t="s">
        <v>43</v>
      </c>
      <c r="AC428" t="s">
        <v>46</v>
      </c>
      <c r="AD428" t="s">
        <v>46</v>
      </c>
      <c r="AE428" t="s">
        <v>46</v>
      </c>
      <c r="AF428" t="s">
        <v>64</v>
      </c>
      <c r="AG428" t="s">
        <v>99</v>
      </c>
      <c r="AH428" s="2" t="s">
        <v>43</v>
      </c>
    </row>
    <row r="429" spans="1:34" ht="45">
      <c r="A429" s="6" t="s">
        <v>880</v>
      </c>
      <c r="B429" s="7">
        <v>46076</v>
      </c>
      <c r="C429" s="9" t="str">
        <f>HYPERLINK("https://eping.wto.org/en/Search?viewData= G/SPS/N/ECU/379"," G/SPS/N/ECU/379")</f>
        <v xml:space="preserve"> G/SPS/N/ECU/379</v>
      </c>
      <c r="D429" s="8" t="s">
        <v>2114</v>
      </c>
      <c r="E429" s="8" t="s">
        <v>2115</v>
      </c>
      <c r="F429" s="8" t="s">
        <v>2116</v>
      </c>
      <c r="G429" s="8" t="s">
        <v>43</v>
      </c>
      <c r="H429" s="8" t="s">
        <v>43</v>
      </c>
      <c r="I429" s="8" t="s">
        <v>254</v>
      </c>
      <c r="J429" s="8" t="s">
        <v>43</v>
      </c>
      <c r="K429" s="8" t="s">
        <v>2117</v>
      </c>
      <c r="L429" s="6" t="s">
        <v>249</v>
      </c>
      <c r="M429" s="7">
        <v>46136</v>
      </c>
      <c r="N429" s="7" t="s">
        <v>79</v>
      </c>
      <c r="O429" s="7" t="s">
        <v>79</v>
      </c>
      <c r="P429" s="6" t="s">
        <v>62</v>
      </c>
      <c r="Q429" s="8" t="s">
        <v>2118</v>
      </c>
      <c r="R429" t="str">
        <f>HYPERLINK("https://docs.wto.org/imrd/directdoc.asp?DDFDocuments/t/G/SPS/NECU379.docx", "https://docs.wto.org/imrd/directdoc.asp?DDFDocuments/t/G/SPS/NECU379.docx")</f>
        <v>https://docs.wto.org/imrd/directdoc.asp?DDFDocuments/t/G/SPS/NECU379.docx</v>
      </c>
      <c r="S429" t="str">
        <f>HYPERLINK("https://docs.wto.org/imrd/directdoc.asp?DDFDocuments/u/G/SPS/NECU379.docx", "https://docs.wto.org/imrd/directdoc.asp?DDFDocuments/u/G/SPS/NECU379.docx")</f>
        <v>https://docs.wto.org/imrd/directdoc.asp?DDFDocuments/u/G/SPS/NECU379.docx</v>
      </c>
      <c r="T429" t="str">
        <f>HYPERLINK("https://docs.wto.org/imrd/directdoc.asp?DDFDocuments/v/G/SPS/NECU379.docx", "https://docs.wto.org/imrd/directdoc.asp?DDFDocuments/v/G/SPS/NECU379.docx")</f>
        <v>https://docs.wto.org/imrd/directdoc.asp?DDFDocuments/v/G/SPS/NECU379.docx</v>
      </c>
      <c r="U429" t="s">
        <v>43</v>
      </c>
      <c r="V429" t="s">
        <v>43</v>
      </c>
      <c r="W429" t="s">
        <v>43</v>
      </c>
      <c r="X429" t="s">
        <v>43</v>
      </c>
      <c r="Y429" t="s">
        <v>43</v>
      </c>
      <c r="Z429" t="s">
        <v>43</v>
      </c>
      <c r="AA429" t="s">
        <v>43</v>
      </c>
      <c r="AB429" s="2" t="s">
        <v>43</v>
      </c>
      <c r="AC429" t="s">
        <v>46</v>
      </c>
      <c r="AD429" t="s">
        <v>46</v>
      </c>
      <c r="AE429" t="s">
        <v>46</v>
      </c>
      <c r="AF429" t="s">
        <v>64</v>
      </c>
      <c r="AG429" t="s">
        <v>99</v>
      </c>
      <c r="AH429" s="2" t="s">
        <v>43</v>
      </c>
    </row>
    <row r="430" spans="1:34" ht="30">
      <c r="A430" s="6" t="s">
        <v>390</v>
      </c>
      <c r="B430" s="7">
        <v>46076</v>
      </c>
      <c r="C430" s="9" t="str">
        <f>HYPERLINK("https://eping.wto.org/en/Search?viewData= G/TBT/N/BDI/717, G/TBT/N/KEN/1986, G/TBT/N/RWA/1355, G/TBT/N/TZA/1501, G/TBT/N/UGA/2316"," G/TBT/N/BDI/717, G/TBT/N/KEN/1986, G/TBT/N/RWA/1355, G/TBT/N/TZA/1501, G/TBT/N/UGA/2316")</f>
        <v xml:space="preserve"> G/TBT/N/BDI/717, G/TBT/N/KEN/1986, G/TBT/N/RWA/1355, G/TBT/N/TZA/1501, G/TBT/N/UGA/2316</v>
      </c>
      <c r="D430" s="8" t="s">
        <v>2119</v>
      </c>
      <c r="E430" s="8" t="s">
        <v>2120</v>
      </c>
      <c r="F430" s="8" t="s">
        <v>2047</v>
      </c>
      <c r="G430" s="8" t="s">
        <v>2048</v>
      </c>
      <c r="H430" s="8" t="s">
        <v>2049</v>
      </c>
      <c r="I430" s="8" t="s">
        <v>1783</v>
      </c>
      <c r="J430" s="8" t="s">
        <v>43</v>
      </c>
      <c r="K430" s="8" t="s">
        <v>43</v>
      </c>
      <c r="L430" s="6"/>
      <c r="M430" s="7">
        <v>46136</v>
      </c>
      <c r="N430" s="7" t="s">
        <v>740</v>
      </c>
      <c r="O430" s="7" t="s">
        <v>79</v>
      </c>
      <c r="P430" s="6" t="s">
        <v>62</v>
      </c>
      <c r="Q430" s="8" t="s">
        <v>2121</v>
      </c>
      <c r="R430" t="str">
        <f>HYPERLINK("https://docs.wto.org/imrd/directdoc.asp?DDFDocuments/t/G/TBTN26/BDI717.docx", "https://docs.wto.org/imrd/directdoc.asp?DDFDocuments/t/G/TBTN26/BDI717.docx")</f>
        <v>https://docs.wto.org/imrd/directdoc.asp?DDFDocuments/t/G/TBTN26/BDI717.docx</v>
      </c>
      <c r="S430" t="str">
        <f>HYPERLINK("https://docs.wto.org/imrd/directdoc.asp?DDFDocuments/u/G/TBTN26/BDI717.docx", "https://docs.wto.org/imrd/directdoc.asp?DDFDocuments/u/G/TBTN26/BDI717.docx")</f>
        <v>https://docs.wto.org/imrd/directdoc.asp?DDFDocuments/u/G/TBTN26/BDI717.docx</v>
      </c>
      <c r="T430" t="str">
        <f>HYPERLINK("https://docs.wto.org/imrd/directdoc.asp?DDFDocuments/v/G/TBTN26/BDI717.docx", "https://docs.wto.org/imrd/directdoc.asp?DDFDocuments/v/G/TBTN26/BDI717.docx")</f>
        <v>https://docs.wto.org/imrd/directdoc.asp?DDFDocuments/v/G/TBTN26/BDI717.docx</v>
      </c>
      <c r="U430" t="s">
        <v>46</v>
      </c>
      <c r="V430" t="s">
        <v>46</v>
      </c>
      <c r="W430" t="s">
        <v>64</v>
      </c>
      <c r="X430" t="s">
        <v>46</v>
      </c>
      <c r="Y430" t="s">
        <v>46</v>
      </c>
      <c r="Z430" t="s">
        <v>46</v>
      </c>
      <c r="AA430" t="s">
        <v>46</v>
      </c>
      <c r="AB430" s="2" t="s">
        <v>43</v>
      </c>
      <c r="AC430" t="s">
        <v>43</v>
      </c>
      <c r="AD430" t="s">
        <v>43</v>
      </c>
      <c r="AE430" t="s">
        <v>43</v>
      </c>
      <c r="AF430" t="s">
        <v>43</v>
      </c>
      <c r="AG430" t="s">
        <v>43</v>
      </c>
      <c r="AH430" s="2" t="s">
        <v>43</v>
      </c>
    </row>
    <row r="431" spans="1:34" ht="270">
      <c r="A431" s="6" t="s">
        <v>108</v>
      </c>
      <c r="B431" s="7">
        <v>46076</v>
      </c>
      <c r="C431" s="9" t="str">
        <f>HYPERLINK("https://eping.wto.org/en/Search?viewData= G/TBT/N/RWA/1349"," G/TBT/N/RWA/1349")</f>
        <v xml:space="preserve"> G/TBT/N/RWA/1349</v>
      </c>
      <c r="D431" s="8" t="s">
        <v>2122</v>
      </c>
      <c r="E431" s="8" t="s">
        <v>2123</v>
      </c>
      <c r="F431" s="8" t="s">
        <v>2124</v>
      </c>
      <c r="G431" s="8" t="s">
        <v>43</v>
      </c>
      <c r="H431" s="8" t="s">
        <v>2125</v>
      </c>
      <c r="I431" s="8" t="s">
        <v>113</v>
      </c>
      <c r="J431" s="8" t="s">
        <v>43</v>
      </c>
      <c r="K431" s="8" t="s">
        <v>43</v>
      </c>
      <c r="L431" s="6"/>
      <c r="M431" s="7">
        <v>46136</v>
      </c>
      <c r="N431" s="7" t="s">
        <v>79</v>
      </c>
      <c r="O431" s="7" t="s">
        <v>114</v>
      </c>
      <c r="P431" s="6" t="s">
        <v>62</v>
      </c>
      <c r="Q431" s="8" t="s">
        <v>2126</v>
      </c>
      <c r="R431" t="str">
        <f>HYPERLINK("https://docs.wto.org/imrd/directdoc.asp?DDFDocuments/t/G/TBTN26/RWA1349.docx", "https://docs.wto.org/imrd/directdoc.asp?DDFDocuments/t/G/TBTN26/RWA1349.docx")</f>
        <v>https://docs.wto.org/imrd/directdoc.asp?DDFDocuments/t/G/TBTN26/RWA1349.docx</v>
      </c>
      <c r="S431" t="str">
        <f>HYPERLINK("https://docs.wto.org/imrd/directdoc.asp?DDFDocuments/u/G/TBTN26/RWA1349.docx", "https://docs.wto.org/imrd/directdoc.asp?DDFDocuments/u/G/TBTN26/RWA1349.docx")</f>
        <v>https://docs.wto.org/imrd/directdoc.asp?DDFDocuments/u/G/TBTN26/RWA1349.docx</v>
      </c>
      <c r="T431" t="str">
        <f>HYPERLINK("https://docs.wto.org/imrd/directdoc.asp?DDFDocuments/v/G/TBTN26/RWA1349.docx", "https://docs.wto.org/imrd/directdoc.asp?DDFDocuments/v/G/TBTN26/RWA1349.docx")</f>
        <v>https://docs.wto.org/imrd/directdoc.asp?DDFDocuments/v/G/TBTN26/RWA1349.docx</v>
      </c>
      <c r="U431" t="s">
        <v>64</v>
      </c>
      <c r="V431" t="s">
        <v>46</v>
      </c>
      <c r="W431" t="s">
        <v>46</v>
      </c>
      <c r="X431" t="s">
        <v>46</v>
      </c>
      <c r="Y431" t="s">
        <v>46</v>
      </c>
      <c r="Z431" t="s">
        <v>46</v>
      </c>
      <c r="AA431" t="s">
        <v>46</v>
      </c>
      <c r="AB431" s="2" t="s">
        <v>2127</v>
      </c>
      <c r="AC431" t="s">
        <v>43</v>
      </c>
      <c r="AD431" t="s">
        <v>43</v>
      </c>
      <c r="AE431" t="s">
        <v>43</v>
      </c>
      <c r="AF431" t="s">
        <v>43</v>
      </c>
      <c r="AG431" t="s">
        <v>43</v>
      </c>
      <c r="AH431" s="2" t="s">
        <v>43</v>
      </c>
    </row>
    <row r="432" spans="1:34" ht="75">
      <c r="A432" s="6" t="s">
        <v>108</v>
      </c>
      <c r="B432" s="7">
        <v>46076</v>
      </c>
      <c r="C432" s="9" t="str">
        <f>HYPERLINK("https://eping.wto.org/en/Search?viewData= G/TBT/N/RWA/1360"," G/TBT/N/RWA/1360")</f>
        <v xml:space="preserve"> G/TBT/N/RWA/1360</v>
      </c>
      <c r="D432" s="8" t="s">
        <v>2128</v>
      </c>
      <c r="E432" s="8" t="s">
        <v>2129</v>
      </c>
      <c r="F432" s="8" t="s">
        <v>2124</v>
      </c>
      <c r="G432" s="8" t="s">
        <v>43</v>
      </c>
      <c r="H432" s="8" t="s">
        <v>2125</v>
      </c>
      <c r="I432" s="8" t="s">
        <v>113</v>
      </c>
      <c r="J432" s="8" t="s">
        <v>43</v>
      </c>
      <c r="K432" s="8" t="s">
        <v>43</v>
      </c>
      <c r="L432" s="6"/>
      <c r="M432" s="7">
        <v>46136</v>
      </c>
      <c r="N432" s="7" t="s">
        <v>79</v>
      </c>
      <c r="O432" s="7" t="s">
        <v>114</v>
      </c>
      <c r="P432" s="6" t="s">
        <v>62</v>
      </c>
      <c r="Q432" s="8" t="s">
        <v>2130</v>
      </c>
      <c r="R432" t="str">
        <f>HYPERLINK("https://docs.wto.org/imrd/directdoc.asp?DDFDocuments/t/G/TBTN26/RWA1360.docx", "https://docs.wto.org/imrd/directdoc.asp?DDFDocuments/t/G/TBTN26/RWA1360.docx")</f>
        <v>https://docs.wto.org/imrd/directdoc.asp?DDFDocuments/t/G/TBTN26/RWA1360.docx</v>
      </c>
      <c r="S432" t="str">
        <f>HYPERLINK("https://docs.wto.org/imrd/directdoc.asp?DDFDocuments/u/G/TBTN26/RWA1360.docx", "https://docs.wto.org/imrd/directdoc.asp?DDFDocuments/u/G/TBTN26/RWA1360.docx")</f>
        <v>https://docs.wto.org/imrd/directdoc.asp?DDFDocuments/u/G/TBTN26/RWA1360.docx</v>
      </c>
      <c r="T432" t="str">
        <f>HYPERLINK("https://docs.wto.org/imrd/directdoc.asp?DDFDocuments/v/G/TBTN26/RWA1360.docx", "https://docs.wto.org/imrd/directdoc.asp?DDFDocuments/v/G/TBTN26/RWA1360.docx")</f>
        <v>https://docs.wto.org/imrd/directdoc.asp?DDFDocuments/v/G/TBTN26/RWA1360.docx</v>
      </c>
      <c r="U432" t="s">
        <v>64</v>
      </c>
      <c r="V432" t="s">
        <v>46</v>
      </c>
      <c r="W432" t="s">
        <v>46</v>
      </c>
      <c r="X432" t="s">
        <v>46</v>
      </c>
      <c r="Y432" t="s">
        <v>46</v>
      </c>
      <c r="Z432" t="s">
        <v>46</v>
      </c>
      <c r="AA432" t="s">
        <v>46</v>
      </c>
      <c r="AB432" s="2" t="s">
        <v>2131</v>
      </c>
      <c r="AC432" t="s">
        <v>43</v>
      </c>
      <c r="AD432" t="s">
        <v>43</v>
      </c>
      <c r="AE432" t="s">
        <v>43</v>
      </c>
      <c r="AF432" t="s">
        <v>43</v>
      </c>
      <c r="AG432" t="s">
        <v>43</v>
      </c>
      <c r="AH432" s="2" t="s">
        <v>43</v>
      </c>
    </row>
    <row r="433" spans="1:34" ht="90">
      <c r="A433" s="6" t="s">
        <v>577</v>
      </c>
      <c r="B433" s="7">
        <v>46076</v>
      </c>
      <c r="C433" s="9" t="str">
        <f>HYPERLINK("https://eping.wto.org/en/Search?viewData= G/TBT/N/BDI/716, G/TBT/N/KEN/1985, G/TBT/N/RWA/1354, G/TBT/N/TZA/1500, G/TBT/N/UGA/2315"," G/TBT/N/BDI/716, G/TBT/N/KEN/1985, G/TBT/N/RWA/1354, G/TBT/N/TZA/1500, G/TBT/N/UGA/2315")</f>
        <v xml:space="preserve"> G/TBT/N/BDI/716, G/TBT/N/KEN/1985, G/TBT/N/RWA/1354, G/TBT/N/TZA/1500, G/TBT/N/UGA/2315</v>
      </c>
      <c r="D433" s="8" t="s">
        <v>2045</v>
      </c>
      <c r="E433" s="8" t="s">
        <v>2046</v>
      </c>
      <c r="F433" s="8" t="s">
        <v>2047</v>
      </c>
      <c r="G433" s="8" t="s">
        <v>2048</v>
      </c>
      <c r="H433" s="8" t="s">
        <v>2049</v>
      </c>
      <c r="I433" s="8" t="s">
        <v>2050</v>
      </c>
      <c r="J433" s="8" t="s">
        <v>43</v>
      </c>
      <c r="K433" s="8" t="s">
        <v>43</v>
      </c>
      <c r="L433" s="6"/>
      <c r="M433" s="7">
        <v>46136</v>
      </c>
      <c r="N433" s="7" t="s">
        <v>740</v>
      </c>
      <c r="O433" s="7" t="s">
        <v>79</v>
      </c>
      <c r="P433" s="6" t="s">
        <v>62</v>
      </c>
      <c r="Q433" s="8" t="s">
        <v>2051</v>
      </c>
      <c r="R433" t="str">
        <f>HYPERLINK("https://docs.wto.org/imrd/directdoc.asp?DDFDocuments/t/G/TBTN26/BDI716.docx", "https://docs.wto.org/imrd/directdoc.asp?DDFDocuments/t/G/TBTN26/BDI716.docx")</f>
        <v>https://docs.wto.org/imrd/directdoc.asp?DDFDocuments/t/G/TBTN26/BDI716.docx</v>
      </c>
      <c r="S433" t="str">
        <f>HYPERLINK("https://docs.wto.org/imrd/directdoc.asp?DDFDocuments/u/G/TBTN26/BDI716.docx", "https://docs.wto.org/imrd/directdoc.asp?DDFDocuments/u/G/TBTN26/BDI716.docx")</f>
        <v>https://docs.wto.org/imrd/directdoc.asp?DDFDocuments/u/G/TBTN26/BDI716.docx</v>
      </c>
      <c r="T433" t="str">
        <f>HYPERLINK("https://docs.wto.org/imrd/directdoc.asp?DDFDocuments/v/G/TBTN26/BDI716.docx", "https://docs.wto.org/imrd/directdoc.asp?DDFDocuments/v/G/TBTN26/BDI716.docx")</f>
        <v>https://docs.wto.org/imrd/directdoc.asp?DDFDocuments/v/G/TBTN26/BDI716.docx</v>
      </c>
      <c r="U433" t="s">
        <v>64</v>
      </c>
      <c r="V433" t="s">
        <v>46</v>
      </c>
      <c r="W433" t="s">
        <v>46</v>
      </c>
      <c r="X433" t="s">
        <v>46</v>
      </c>
      <c r="Y433" t="s">
        <v>46</v>
      </c>
      <c r="Z433" t="s">
        <v>46</v>
      </c>
      <c r="AA433" t="s">
        <v>46</v>
      </c>
      <c r="AB433" s="2" t="s">
        <v>2052</v>
      </c>
      <c r="AC433" t="s">
        <v>43</v>
      </c>
      <c r="AD433" t="s">
        <v>43</v>
      </c>
      <c r="AE433" t="s">
        <v>43</v>
      </c>
      <c r="AF433" t="s">
        <v>43</v>
      </c>
      <c r="AG433" t="s">
        <v>43</v>
      </c>
      <c r="AH433" s="2" t="s">
        <v>43</v>
      </c>
    </row>
    <row r="434" spans="1:34" ht="165">
      <c r="A434" s="6" t="s">
        <v>509</v>
      </c>
      <c r="B434" s="7">
        <v>46076</v>
      </c>
      <c r="C434" s="9" t="str">
        <f>HYPERLINK("https://eping.wto.org/en/Search?viewData= G/TBT/N/BDI/719, G/TBT/N/KEN/1988, G/TBT/N/RWA/1357, G/TBT/N/TZA/1503, G/TBT/N/UGA/2318"," G/TBT/N/BDI/719, G/TBT/N/KEN/1988, G/TBT/N/RWA/1357, G/TBT/N/TZA/1503, G/TBT/N/UGA/2318")</f>
        <v xml:space="preserve"> G/TBT/N/BDI/719, G/TBT/N/KEN/1988, G/TBT/N/RWA/1357, G/TBT/N/TZA/1503, G/TBT/N/UGA/2318</v>
      </c>
      <c r="D434" s="8" t="s">
        <v>2037</v>
      </c>
      <c r="E434" s="8" t="s">
        <v>2038</v>
      </c>
      <c r="F434" s="8" t="s">
        <v>2039</v>
      </c>
      <c r="G434" s="8" t="s">
        <v>2040</v>
      </c>
      <c r="H434" s="8" t="s">
        <v>2041</v>
      </c>
      <c r="I434" s="8" t="s">
        <v>2042</v>
      </c>
      <c r="J434" s="8" t="s">
        <v>43</v>
      </c>
      <c r="K434" s="8" t="s">
        <v>43</v>
      </c>
      <c r="L434" s="6"/>
      <c r="M434" s="7">
        <v>46136</v>
      </c>
      <c r="N434" s="7" t="s">
        <v>740</v>
      </c>
      <c r="O434" s="7" t="s">
        <v>79</v>
      </c>
      <c r="P434" s="6" t="s">
        <v>62</v>
      </c>
      <c r="Q434" s="8" t="s">
        <v>2043</v>
      </c>
      <c r="R434" t="str">
        <f>HYPERLINK("https://docs.wto.org/imrd/directdoc.asp?DDFDocuments/t/G/TBTN26/BDI719.docx", "https://docs.wto.org/imrd/directdoc.asp?DDFDocuments/t/G/TBTN26/BDI719.docx")</f>
        <v>https://docs.wto.org/imrd/directdoc.asp?DDFDocuments/t/G/TBTN26/BDI719.docx</v>
      </c>
      <c r="S434" t="str">
        <f>HYPERLINK("https://docs.wto.org/imrd/directdoc.asp?DDFDocuments/u/G/TBTN26/BDI719.docx", "https://docs.wto.org/imrd/directdoc.asp?DDFDocuments/u/G/TBTN26/BDI719.docx")</f>
        <v>https://docs.wto.org/imrd/directdoc.asp?DDFDocuments/u/G/TBTN26/BDI719.docx</v>
      </c>
      <c r="T434" t="str">
        <f>HYPERLINK("https://docs.wto.org/imrd/directdoc.asp?DDFDocuments/v/G/TBTN26/BDI719.docx", "https://docs.wto.org/imrd/directdoc.asp?DDFDocuments/v/G/TBTN26/BDI719.docx")</f>
        <v>https://docs.wto.org/imrd/directdoc.asp?DDFDocuments/v/G/TBTN26/BDI719.docx</v>
      </c>
      <c r="U434" t="s">
        <v>64</v>
      </c>
      <c r="V434" t="s">
        <v>46</v>
      </c>
      <c r="W434" t="s">
        <v>46</v>
      </c>
      <c r="X434" t="s">
        <v>46</v>
      </c>
      <c r="Y434" t="s">
        <v>46</v>
      </c>
      <c r="Z434" t="s">
        <v>46</v>
      </c>
      <c r="AA434" t="s">
        <v>46</v>
      </c>
      <c r="AB434" s="2" t="s">
        <v>2044</v>
      </c>
      <c r="AC434" t="s">
        <v>43</v>
      </c>
      <c r="AD434" t="s">
        <v>43</v>
      </c>
      <c r="AE434" t="s">
        <v>43</v>
      </c>
      <c r="AF434" t="s">
        <v>43</v>
      </c>
      <c r="AG434" t="s">
        <v>43</v>
      </c>
      <c r="AH434" s="2" t="s">
        <v>43</v>
      </c>
    </row>
    <row r="435" spans="1:34" ht="150">
      <c r="A435" s="6" t="s">
        <v>249</v>
      </c>
      <c r="B435" s="7">
        <v>46076</v>
      </c>
      <c r="C435" s="9" t="str">
        <f>HYPERLINK("https://eping.wto.org/en/Search?viewData= G/TBT/N/COL/269/Add.2"," G/TBT/N/COL/269/Add.2")</f>
        <v xml:space="preserve"> G/TBT/N/COL/269/Add.2</v>
      </c>
      <c r="D435" s="8" t="s">
        <v>2132</v>
      </c>
      <c r="E435" s="8" t="s">
        <v>2133</v>
      </c>
      <c r="F435" s="8" t="s">
        <v>2134</v>
      </c>
      <c r="G435" s="8" t="s">
        <v>2135</v>
      </c>
      <c r="H435" s="8" t="s">
        <v>2136</v>
      </c>
      <c r="I435" s="8" t="s">
        <v>413</v>
      </c>
      <c r="J435" s="8" t="s">
        <v>43</v>
      </c>
      <c r="K435" s="8" t="s">
        <v>43</v>
      </c>
      <c r="L435" s="6"/>
      <c r="M435" s="7" t="s">
        <v>43</v>
      </c>
      <c r="N435" s="7"/>
      <c r="O435" s="7"/>
      <c r="P435" s="6" t="s">
        <v>44</v>
      </c>
      <c r="Q435" s="8" t="s">
        <v>2137</v>
      </c>
      <c r="R435" t="str">
        <f>HYPERLINK("https://docs.wto.org/imrd/directdoc.asp?DDFDocuments/t/G/TBTN24/COL269A2.docx", "https://docs.wto.org/imrd/directdoc.asp?DDFDocuments/t/G/TBTN24/COL269A2.docx")</f>
        <v>https://docs.wto.org/imrd/directdoc.asp?DDFDocuments/t/G/TBTN24/COL269A2.docx</v>
      </c>
      <c r="S435" t="str">
        <f>HYPERLINK("https://docs.wto.org/imrd/directdoc.asp?DDFDocuments/u/G/TBTN24/COL269A2.docx", "https://docs.wto.org/imrd/directdoc.asp?DDFDocuments/u/G/TBTN24/COL269A2.docx")</f>
        <v>https://docs.wto.org/imrd/directdoc.asp?DDFDocuments/u/G/TBTN24/COL269A2.docx</v>
      </c>
      <c r="T435" t="str">
        <f>HYPERLINK("https://docs.wto.org/imrd/directdoc.asp?DDFDocuments/v/G/TBTN24/COL269A2.docx", "https://docs.wto.org/imrd/directdoc.asp?DDFDocuments/v/G/TBTN24/COL269A2.docx")</f>
        <v>https://docs.wto.org/imrd/directdoc.asp?DDFDocuments/v/G/TBTN24/COL269A2.docx</v>
      </c>
      <c r="U435" t="s">
        <v>64</v>
      </c>
      <c r="V435" t="s">
        <v>46</v>
      </c>
      <c r="W435" t="s">
        <v>46</v>
      </c>
      <c r="X435" t="s">
        <v>46</v>
      </c>
      <c r="Y435" t="s">
        <v>46</v>
      </c>
      <c r="Z435" t="s">
        <v>46</v>
      </c>
      <c r="AA435" t="s">
        <v>46</v>
      </c>
      <c r="AB435" s="2" t="s">
        <v>43</v>
      </c>
      <c r="AC435" t="s">
        <v>43</v>
      </c>
      <c r="AD435" t="s">
        <v>43</v>
      </c>
      <c r="AE435" t="s">
        <v>43</v>
      </c>
      <c r="AF435" t="s">
        <v>43</v>
      </c>
      <c r="AG435" t="s">
        <v>43</v>
      </c>
      <c r="AH435" s="2" t="s">
        <v>43</v>
      </c>
    </row>
    <row r="436" spans="1:34" ht="60">
      <c r="A436" s="6" t="s">
        <v>390</v>
      </c>
      <c r="B436" s="7">
        <v>46076</v>
      </c>
      <c r="C436" s="9" t="str">
        <f>HYPERLINK("https://eping.wto.org/en/Search?viewData= G/TBT/N/BDI/718, G/TBT/N/KEN/1987, G/TBT/N/RWA/1356, G/TBT/N/TZA/1502, G/TBT/N/UGA/2317"," G/TBT/N/BDI/718, G/TBT/N/KEN/1987, G/TBT/N/RWA/1356, G/TBT/N/TZA/1502, G/TBT/N/UGA/2317")</f>
        <v xml:space="preserve"> G/TBT/N/BDI/718, G/TBT/N/KEN/1987, G/TBT/N/RWA/1356, G/TBT/N/TZA/1502, G/TBT/N/UGA/2317</v>
      </c>
      <c r="D436" s="8" t="s">
        <v>2053</v>
      </c>
      <c r="E436" s="8" t="s">
        <v>2054</v>
      </c>
      <c r="F436" s="8" t="s">
        <v>2055</v>
      </c>
      <c r="G436" s="8" t="s">
        <v>2056</v>
      </c>
      <c r="H436" s="8" t="s">
        <v>2057</v>
      </c>
      <c r="I436" s="8" t="s">
        <v>2058</v>
      </c>
      <c r="J436" s="8" t="s">
        <v>43</v>
      </c>
      <c r="K436" s="8" t="s">
        <v>43</v>
      </c>
      <c r="L436" s="6"/>
      <c r="M436" s="7">
        <v>46136</v>
      </c>
      <c r="N436" s="7" t="s">
        <v>740</v>
      </c>
      <c r="O436" s="7" t="s">
        <v>79</v>
      </c>
      <c r="P436" s="6" t="s">
        <v>62</v>
      </c>
      <c r="Q436" s="8" t="s">
        <v>2059</v>
      </c>
      <c r="R436" t="str">
        <f>HYPERLINK("https://docs.wto.org/imrd/directdoc.asp?DDFDocuments/t/G/TBTN26/BDI718.docx", "https://docs.wto.org/imrd/directdoc.asp?DDFDocuments/t/G/TBTN26/BDI718.docx")</f>
        <v>https://docs.wto.org/imrd/directdoc.asp?DDFDocuments/t/G/TBTN26/BDI718.docx</v>
      </c>
      <c r="S436" t="str">
        <f>HYPERLINK("https://docs.wto.org/imrd/directdoc.asp?DDFDocuments/u/G/TBTN26/BDI718.docx", "https://docs.wto.org/imrd/directdoc.asp?DDFDocuments/u/G/TBTN26/BDI718.docx")</f>
        <v>https://docs.wto.org/imrd/directdoc.asp?DDFDocuments/u/G/TBTN26/BDI718.docx</v>
      </c>
      <c r="T436" t="str">
        <f>HYPERLINK("https://docs.wto.org/imrd/directdoc.asp?DDFDocuments/v/G/TBTN26/BDI718.docx", "https://docs.wto.org/imrd/directdoc.asp?DDFDocuments/v/G/TBTN26/BDI718.docx")</f>
        <v>https://docs.wto.org/imrd/directdoc.asp?DDFDocuments/v/G/TBTN26/BDI718.docx</v>
      </c>
      <c r="U436" t="s">
        <v>46</v>
      </c>
      <c r="V436" t="s">
        <v>46</v>
      </c>
      <c r="W436" t="s">
        <v>64</v>
      </c>
      <c r="X436" t="s">
        <v>46</v>
      </c>
      <c r="Y436" t="s">
        <v>46</v>
      </c>
      <c r="Z436" t="s">
        <v>46</v>
      </c>
      <c r="AA436" t="s">
        <v>46</v>
      </c>
      <c r="AB436" s="2" t="s">
        <v>2060</v>
      </c>
      <c r="AC436" t="s">
        <v>43</v>
      </c>
      <c r="AD436" t="s">
        <v>43</v>
      </c>
      <c r="AE436" t="s">
        <v>43</v>
      </c>
      <c r="AF436" t="s">
        <v>43</v>
      </c>
      <c r="AG436" t="s">
        <v>43</v>
      </c>
      <c r="AH436" s="2" t="s">
        <v>43</v>
      </c>
    </row>
    <row r="437" spans="1:34" ht="210">
      <c r="A437" s="6" t="s">
        <v>108</v>
      </c>
      <c r="B437" s="7">
        <v>46076</v>
      </c>
      <c r="C437" s="9" t="str">
        <f>HYPERLINK("https://eping.wto.org/en/Search?viewData= G/TBT/N/RWA/1346"," G/TBT/N/RWA/1346")</f>
        <v xml:space="preserve"> G/TBT/N/RWA/1346</v>
      </c>
      <c r="D437" s="8" t="s">
        <v>2138</v>
      </c>
      <c r="E437" s="8" t="s">
        <v>2139</v>
      </c>
      <c r="F437" s="8" t="s">
        <v>2100</v>
      </c>
      <c r="G437" s="8" t="s">
        <v>43</v>
      </c>
      <c r="H437" s="8" t="s">
        <v>2101</v>
      </c>
      <c r="I437" s="8" t="s">
        <v>113</v>
      </c>
      <c r="J437" s="8" t="s">
        <v>43</v>
      </c>
      <c r="K437" s="8" t="s">
        <v>43</v>
      </c>
      <c r="L437" s="6"/>
      <c r="M437" s="7">
        <v>46136</v>
      </c>
      <c r="N437" s="7" t="s">
        <v>79</v>
      </c>
      <c r="O437" s="7" t="s">
        <v>114</v>
      </c>
      <c r="P437" s="6" t="s">
        <v>62</v>
      </c>
      <c r="Q437" s="8" t="s">
        <v>2140</v>
      </c>
      <c r="R437" t="str">
        <f>HYPERLINK("https://docs.wto.org/imrd/directdoc.asp?DDFDocuments/t/G/TBTN26/RWA1346.docx", "https://docs.wto.org/imrd/directdoc.asp?DDFDocuments/t/G/TBTN26/RWA1346.docx")</f>
        <v>https://docs.wto.org/imrd/directdoc.asp?DDFDocuments/t/G/TBTN26/RWA1346.docx</v>
      </c>
      <c r="S437" t="str">
        <f>HYPERLINK("https://docs.wto.org/imrd/directdoc.asp?DDFDocuments/u/G/TBTN26/RWA1346.docx", "https://docs.wto.org/imrd/directdoc.asp?DDFDocuments/u/G/TBTN26/RWA1346.docx")</f>
        <v>https://docs.wto.org/imrd/directdoc.asp?DDFDocuments/u/G/TBTN26/RWA1346.docx</v>
      </c>
      <c r="T437" t="str">
        <f>HYPERLINK("https://docs.wto.org/imrd/directdoc.asp?DDFDocuments/v/G/TBTN26/RWA1346.docx", "https://docs.wto.org/imrd/directdoc.asp?DDFDocuments/v/G/TBTN26/RWA1346.docx")</f>
        <v>https://docs.wto.org/imrd/directdoc.asp?DDFDocuments/v/G/TBTN26/RWA1346.docx</v>
      </c>
      <c r="U437" t="s">
        <v>64</v>
      </c>
      <c r="V437" t="s">
        <v>46</v>
      </c>
      <c r="W437" t="s">
        <v>46</v>
      </c>
      <c r="X437" t="s">
        <v>46</v>
      </c>
      <c r="Y437" t="s">
        <v>46</v>
      </c>
      <c r="Z437" t="s">
        <v>46</v>
      </c>
      <c r="AA437" t="s">
        <v>46</v>
      </c>
      <c r="AB437" s="2" t="s">
        <v>2141</v>
      </c>
      <c r="AC437" t="s">
        <v>43</v>
      </c>
      <c r="AD437" t="s">
        <v>43</v>
      </c>
      <c r="AE437" t="s">
        <v>43</v>
      </c>
      <c r="AF437" t="s">
        <v>43</v>
      </c>
      <c r="AG437" t="s">
        <v>43</v>
      </c>
      <c r="AH437" s="2" t="s">
        <v>43</v>
      </c>
    </row>
    <row r="438" spans="1:34" ht="165">
      <c r="A438" s="6" t="s">
        <v>124</v>
      </c>
      <c r="B438" s="7">
        <v>46076</v>
      </c>
      <c r="C438" s="9" t="str">
        <f>HYPERLINK("https://eping.wto.org/en/Search?viewData= G/TBT/N/BDI/719, G/TBT/N/KEN/1988, G/TBT/N/RWA/1357, G/TBT/N/TZA/1503, G/TBT/N/UGA/2318"," G/TBT/N/BDI/719, G/TBT/N/KEN/1988, G/TBT/N/RWA/1357, G/TBT/N/TZA/1503, G/TBT/N/UGA/2318")</f>
        <v xml:space="preserve"> G/TBT/N/BDI/719, G/TBT/N/KEN/1988, G/TBT/N/RWA/1357, G/TBT/N/TZA/1503, G/TBT/N/UGA/2318</v>
      </c>
      <c r="D438" s="8" t="s">
        <v>2037</v>
      </c>
      <c r="E438" s="8" t="s">
        <v>2038</v>
      </c>
      <c r="F438" s="8" t="s">
        <v>2039</v>
      </c>
      <c r="G438" s="8" t="s">
        <v>2040</v>
      </c>
      <c r="H438" s="8" t="s">
        <v>2041</v>
      </c>
      <c r="I438" s="8" t="s">
        <v>2042</v>
      </c>
      <c r="J438" s="8" t="s">
        <v>43</v>
      </c>
      <c r="K438" s="8" t="s">
        <v>43</v>
      </c>
      <c r="L438" s="6"/>
      <c r="M438" s="7">
        <v>46136</v>
      </c>
      <c r="N438" s="7" t="s">
        <v>740</v>
      </c>
      <c r="O438" s="7" t="s">
        <v>79</v>
      </c>
      <c r="P438" s="6" t="s">
        <v>62</v>
      </c>
      <c r="Q438" s="8" t="s">
        <v>2043</v>
      </c>
      <c r="R438" t="str">
        <f>HYPERLINK("https://docs.wto.org/imrd/directdoc.asp?DDFDocuments/t/G/TBTN26/BDI719.docx", "https://docs.wto.org/imrd/directdoc.asp?DDFDocuments/t/G/TBTN26/BDI719.docx")</f>
        <v>https://docs.wto.org/imrd/directdoc.asp?DDFDocuments/t/G/TBTN26/BDI719.docx</v>
      </c>
      <c r="S438" t="str">
        <f>HYPERLINK("https://docs.wto.org/imrd/directdoc.asp?DDFDocuments/u/G/TBTN26/BDI719.docx", "https://docs.wto.org/imrd/directdoc.asp?DDFDocuments/u/G/TBTN26/BDI719.docx")</f>
        <v>https://docs.wto.org/imrd/directdoc.asp?DDFDocuments/u/G/TBTN26/BDI719.docx</v>
      </c>
      <c r="T438" t="str">
        <f>HYPERLINK("https://docs.wto.org/imrd/directdoc.asp?DDFDocuments/v/G/TBTN26/BDI719.docx", "https://docs.wto.org/imrd/directdoc.asp?DDFDocuments/v/G/TBTN26/BDI719.docx")</f>
        <v>https://docs.wto.org/imrd/directdoc.asp?DDFDocuments/v/G/TBTN26/BDI719.docx</v>
      </c>
      <c r="U438" t="s">
        <v>64</v>
      </c>
      <c r="V438" t="s">
        <v>46</v>
      </c>
      <c r="W438" t="s">
        <v>46</v>
      </c>
      <c r="X438" t="s">
        <v>46</v>
      </c>
      <c r="Y438" t="s">
        <v>46</v>
      </c>
      <c r="Z438" t="s">
        <v>46</v>
      </c>
      <c r="AA438" t="s">
        <v>46</v>
      </c>
      <c r="AB438" s="2" t="s">
        <v>2044</v>
      </c>
      <c r="AC438" t="s">
        <v>43</v>
      </c>
      <c r="AD438" t="s">
        <v>43</v>
      </c>
      <c r="AE438" t="s">
        <v>43</v>
      </c>
      <c r="AF438" t="s">
        <v>43</v>
      </c>
      <c r="AG438" t="s">
        <v>43</v>
      </c>
      <c r="AH438" s="2" t="s">
        <v>43</v>
      </c>
    </row>
    <row r="439" spans="1:34" ht="90">
      <c r="A439" s="6" t="s">
        <v>390</v>
      </c>
      <c r="B439" s="7">
        <v>46076</v>
      </c>
      <c r="C439" s="9" t="str">
        <f>HYPERLINK("https://eping.wto.org/en/Search?viewData= G/TBT/N/BDI/716, G/TBT/N/KEN/1985, G/TBT/N/RWA/1354, G/TBT/N/TZA/1500, G/TBT/N/UGA/2315"," G/TBT/N/BDI/716, G/TBT/N/KEN/1985, G/TBT/N/RWA/1354, G/TBT/N/TZA/1500, G/TBT/N/UGA/2315")</f>
        <v xml:space="preserve"> G/TBT/N/BDI/716, G/TBT/N/KEN/1985, G/TBT/N/RWA/1354, G/TBT/N/TZA/1500, G/TBT/N/UGA/2315</v>
      </c>
      <c r="D439" s="8" t="s">
        <v>2045</v>
      </c>
      <c r="E439" s="8" t="s">
        <v>2046</v>
      </c>
      <c r="F439" s="8" t="s">
        <v>2047</v>
      </c>
      <c r="G439" s="8" t="s">
        <v>2048</v>
      </c>
      <c r="H439" s="8" t="s">
        <v>2049</v>
      </c>
      <c r="I439" s="8" t="s">
        <v>2050</v>
      </c>
      <c r="J439" s="8" t="s">
        <v>43</v>
      </c>
      <c r="K439" s="8" t="s">
        <v>43</v>
      </c>
      <c r="L439" s="6"/>
      <c r="M439" s="7">
        <v>46136</v>
      </c>
      <c r="N439" s="7" t="s">
        <v>740</v>
      </c>
      <c r="O439" s="7" t="s">
        <v>79</v>
      </c>
      <c r="P439" s="6" t="s">
        <v>62</v>
      </c>
      <c r="Q439" s="8" t="s">
        <v>2051</v>
      </c>
      <c r="R439" t="str">
        <f>HYPERLINK("https://docs.wto.org/imrd/directdoc.asp?DDFDocuments/t/G/TBTN26/BDI716.docx", "https://docs.wto.org/imrd/directdoc.asp?DDFDocuments/t/G/TBTN26/BDI716.docx")</f>
        <v>https://docs.wto.org/imrd/directdoc.asp?DDFDocuments/t/G/TBTN26/BDI716.docx</v>
      </c>
      <c r="S439" t="str">
        <f>HYPERLINK("https://docs.wto.org/imrd/directdoc.asp?DDFDocuments/u/G/TBTN26/BDI716.docx", "https://docs.wto.org/imrd/directdoc.asp?DDFDocuments/u/G/TBTN26/BDI716.docx")</f>
        <v>https://docs.wto.org/imrd/directdoc.asp?DDFDocuments/u/G/TBTN26/BDI716.docx</v>
      </c>
      <c r="T439" t="str">
        <f>HYPERLINK("https://docs.wto.org/imrd/directdoc.asp?DDFDocuments/v/G/TBTN26/BDI716.docx", "https://docs.wto.org/imrd/directdoc.asp?DDFDocuments/v/G/TBTN26/BDI716.docx")</f>
        <v>https://docs.wto.org/imrd/directdoc.asp?DDFDocuments/v/G/TBTN26/BDI716.docx</v>
      </c>
      <c r="U439" t="s">
        <v>64</v>
      </c>
      <c r="V439" t="s">
        <v>46</v>
      </c>
      <c r="W439" t="s">
        <v>46</v>
      </c>
      <c r="X439" t="s">
        <v>46</v>
      </c>
      <c r="Y439" t="s">
        <v>46</v>
      </c>
      <c r="Z439" t="s">
        <v>46</v>
      </c>
      <c r="AA439" t="s">
        <v>46</v>
      </c>
      <c r="AB439" s="2" t="s">
        <v>2052</v>
      </c>
      <c r="AC439" t="s">
        <v>43</v>
      </c>
      <c r="AD439" t="s">
        <v>43</v>
      </c>
      <c r="AE439" t="s">
        <v>43</v>
      </c>
      <c r="AF439" t="s">
        <v>43</v>
      </c>
      <c r="AG439" t="s">
        <v>43</v>
      </c>
      <c r="AH439" s="2" t="s">
        <v>43</v>
      </c>
    </row>
    <row r="440" spans="1:34" ht="90">
      <c r="A440" s="6" t="s">
        <v>509</v>
      </c>
      <c r="B440" s="7">
        <v>46076</v>
      </c>
      <c r="C440" s="9" t="str">
        <f>HYPERLINK("https://eping.wto.org/en/Search?viewData= G/TBT/N/BDI/716, G/TBT/N/KEN/1985, G/TBT/N/RWA/1354, G/TBT/N/TZA/1500, G/TBT/N/UGA/2315"," G/TBT/N/BDI/716, G/TBT/N/KEN/1985, G/TBT/N/RWA/1354, G/TBT/N/TZA/1500, G/TBT/N/UGA/2315")</f>
        <v xml:space="preserve"> G/TBT/N/BDI/716, G/TBT/N/KEN/1985, G/TBT/N/RWA/1354, G/TBT/N/TZA/1500, G/TBT/N/UGA/2315</v>
      </c>
      <c r="D440" s="8" t="s">
        <v>2045</v>
      </c>
      <c r="E440" s="8" t="s">
        <v>2046</v>
      </c>
      <c r="F440" s="8" t="s">
        <v>2047</v>
      </c>
      <c r="G440" s="8" t="s">
        <v>2048</v>
      </c>
      <c r="H440" s="8" t="s">
        <v>2049</v>
      </c>
      <c r="I440" s="8" t="s">
        <v>2050</v>
      </c>
      <c r="J440" s="8" t="s">
        <v>43</v>
      </c>
      <c r="K440" s="8" t="s">
        <v>43</v>
      </c>
      <c r="L440" s="6"/>
      <c r="M440" s="7">
        <v>46136</v>
      </c>
      <c r="N440" s="7" t="s">
        <v>740</v>
      </c>
      <c r="O440" s="7" t="s">
        <v>79</v>
      </c>
      <c r="P440" s="6" t="s">
        <v>62</v>
      </c>
      <c r="Q440" s="8" t="s">
        <v>2051</v>
      </c>
      <c r="R440" t="str">
        <f>HYPERLINK("https://docs.wto.org/imrd/directdoc.asp?DDFDocuments/t/G/TBTN26/BDI716.docx", "https://docs.wto.org/imrd/directdoc.asp?DDFDocuments/t/G/TBTN26/BDI716.docx")</f>
        <v>https://docs.wto.org/imrd/directdoc.asp?DDFDocuments/t/G/TBTN26/BDI716.docx</v>
      </c>
      <c r="S440" t="str">
        <f>HYPERLINK("https://docs.wto.org/imrd/directdoc.asp?DDFDocuments/u/G/TBTN26/BDI716.docx", "https://docs.wto.org/imrd/directdoc.asp?DDFDocuments/u/G/TBTN26/BDI716.docx")</f>
        <v>https://docs.wto.org/imrd/directdoc.asp?DDFDocuments/u/G/TBTN26/BDI716.docx</v>
      </c>
      <c r="T440" t="str">
        <f>HYPERLINK("https://docs.wto.org/imrd/directdoc.asp?DDFDocuments/v/G/TBTN26/BDI716.docx", "https://docs.wto.org/imrd/directdoc.asp?DDFDocuments/v/G/TBTN26/BDI716.docx")</f>
        <v>https://docs.wto.org/imrd/directdoc.asp?DDFDocuments/v/G/TBTN26/BDI716.docx</v>
      </c>
      <c r="U440" t="s">
        <v>64</v>
      </c>
      <c r="V440" t="s">
        <v>46</v>
      </c>
      <c r="W440" t="s">
        <v>46</v>
      </c>
      <c r="X440" t="s">
        <v>46</v>
      </c>
      <c r="Y440" t="s">
        <v>46</v>
      </c>
      <c r="Z440" t="s">
        <v>46</v>
      </c>
      <c r="AA440" t="s">
        <v>46</v>
      </c>
      <c r="AB440" s="2" t="s">
        <v>2052</v>
      </c>
      <c r="AC440" t="s">
        <v>43</v>
      </c>
      <c r="AD440" t="s">
        <v>43</v>
      </c>
      <c r="AE440" t="s">
        <v>43</v>
      </c>
      <c r="AF440" t="s">
        <v>43</v>
      </c>
      <c r="AG440" t="s">
        <v>43</v>
      </c>
      <c r="AH440" s="2" t="s">
        <v>43</v>
      </c>
    </row>
    <row r="441" spans="1:34" ht="165">
      <c r="A441" s="6" t="s">
        <v>577</v>
      </c>
      <c r="B441" s="7">
        <v>46076</v>
      </c>
      <c r="C441" s="9" t="str">
        <f>HYPERLINK("https://eping.wto.org/en/Search?viewData= G/TBT/N/BDI/719, G/TBT/N/KEN/1988, G/TBT/N/RWA/1357, G/TBT/N/TZA/1503, G/TBT/N/UGA/2318"," G/TBT/N/BDI/719, G/TBT/N/KEN/1988, G/TBT/N/RWA/1357, G/TBT/N/TZA/1503, G/TBT/N/UGA/2318")</f>
        <v xml:space="preserve"> G/TBT/N/BDI/719, G/TBT/N/KEN/1988, G/TBT/N/RWA/1357, G/TBT/N/TZA/1503, G/TBT/N/UGA/2318</v>
      </c>
      <c r="D441" s="8" t="s">
        <v>2037</v>
      </c>
      <c r="E441" s="8" t="s">
        <v>2038</v>
      </c>
      <c r="F441" s="8" t="s">
        <v>2039</v>
      </c>
      <c r="G441" s="8" t="s">
        <v>2040</v>
      </c>
      <c r="H441" s="8" t="s">
        <v>2041</v>
      </c>
      <c r="I441" s="8" t="s">
        <v>2042</v>
      </c>
      <c r="J441" s="8" t="s">
        <v>43</v>
      </c>
      <c r="K441" s="8" t="s">
        <v>43</v>
      </c>
      <c r="L441" s="6"/>
      <c r="M441" s="7">
        <v>46136</v>
      </c>
      <c r="N441" s="7" t="s">
        <v>740</v>
      </c>
      <c r="O441" s="7" t="s">
        <v>79</v>
      </c>
      <c r="P441" s="6" t="s">
        <v>62</v>
      </c>
      <c r="Q441" s="8" t="s">
        <v>2043</v>
      </c>
      <c r="R441" t="str">
        <f>HYPERLINK("https://docs.wto.org/imrd/directdoc.asp?DDFDocuments/t/G/TBTN26/BDI719.docx", "https://docs.wto.org/imrd/directdoc.asp?DDFDocuments/t/G/TBTN26/BDI719.docx")</f>
        <v>https://docs.wto.org/imrd/directdoc.asp?DDFDocuments/t/G/TBTN26/BDI719.docx</v>
      </c>
      <c r="S441" t="str">
        <f>HYPERLINK("https://docs.wto.org/imrd/directdoc.asp?DDFDocuments/u/G/TBTN26/BDI719.docx", "https://docs.wto.org/imrd/directdoc.asp?DDFDocuments/u/G/TBTN26/BDI719.docx")</f>
        <v>https://docs.wto.org/imrd/directdoc.asp?DDFDocuments/u/G/TBTN26/BDI719.docx</v>
      </c>
      <c r="T441" t="str">
        <f>HYPERLINK("https://docs.wto.org/imrd/directdoc.asp?DDFDocuments/v/G/TBTN26/BDI719.docx", "https://docs.wto.org/imrd/directdoc.asp?DDFDocuments/v/G/TBTN26/BDI719.docx")</f>
        <v>https://docs.wto.org/imrd/directdoc.asp?DDFDocuments/v/G/TBTN26/BDI719.docx</v>
      </c>
      <c r="U441" t="s">
        <v>64</v>
      </c>
      <c r="V441" t="s">
        <v>46</v>
      </c>
      <c r="W441" t="s">
        <v>46</v>
      </c>
      <c r="X441" t="s">
        <v>46</v>
      </c>
      <c r="Y441" t="s">
        <v>46</v>
      </c>
      <c r="Z441" t="s">
        <v>46</v>
      </c>
      <c r="AA441" t="s">
        <v>46</v>
      </c>
      <c r="AB441" s="2" t="s">
        <v>2044</v>
      </c>
      <c r="AC441" t="s">
        <v>43</v>
      </c>
      <c r="AD441" t="s">
        <v>43</v>
      </c>
      <c r="AE441" t="s">
        <v>43</v>
      </c>
      <c r="AF441" t="s">
        <v>43</v>
      </c>
      <c r="AG441" t="s">
        <v>43</v>
      </c>
      <c r="AH441" s="2" t="s">
        <v>43</v>
      </c>
    </row>
    <row r="442" spans="1:34" ht="165">
      <c r="A442" s="6" t="s">
        <v>108</v>
      </c>
      <c r="B442" s="7">
        <v>46076</v>
      </c>
      <c r="C442" s="9" t="str">
        <f>HYPERLINK("https://eping.wto.org/en/Search?viewData= G/TBT/N/BDI/719, G/TBT/N/KEN/1988, G/TBT/N/RWA/1357, G/TBT/N/TZA/1503, G/TBT/N/UGA/2318"," G/TBT/N/BDI/719, G/TBT/N/KEN/1988, G/TBT/N/RWA/1357, G/TBT/N/TZA/1503, G/TBT/N/UGA/2318")</f>
        <v xml:space="preserve"> G/TBT/N/BDI/719, G/TBT/N/KEN/1988, G/TBT/N/RWA/1357, G/TBT/N/TZA/1503, G/TBT/N/UGA/2318</v>
      </c>
      <c r="D442" s="8" t="s">
        <v>2037</v>
      </c>
      <c r="E442" s="8" t="s">
        <v>2038</v>
      </c>
      <c r="F442" s="8" t="s">
        <v>2039</v>
      </c>
      <c r="G442" s="8" t="s">
        <v>2040</v>
      </c>
      <c r="H442" s="8" t="s">
        <v>2041</v>
      </c>
      <c r="I442" s="8" t="s">
        <v>2042</v>
      </c>
      <c r="J442" s="8" t="s">
        <v>43</v>
      </c>
      <c r="K442" s="8" t="s">
        <v>43</v>
      </c>
      <c r="L442" s="6"/>
      <c r="M442" s="7">
        <v>46136</v>
      </c>
      <c r="N442" s="7" t="s">
        <v>740</v>
      </c>
      <c r="O442" s="7" t="s">
        <v>79</v>
      </c>
      <c r="P442" s="6" t="s">
        <v>62</v>
      </c>
      <c r="Q442" s="8" t="s">
        <v>2043</v>
      </c>
      <c r="R442" t="str">
        <f>HYPERLINK("https://docs.wto.org/imrd/directdoc.asp?DDFDocuments/t/G/TBTN26/BDI719.docx", "https://docs.wto.org/imrd/directdoc.asp?DDFDocuments/t/G/TBTN26/BDI719.docx")</f>
        <v>https://docs.wto.org/imrd/directdoc.asp?DDFDocuments/t/G/TBTN26/BDI719.docx</v>
      </c>
      <c r="S442" t="str">
        <f>HYPERLINK("https://docs.wto.org/imrd/directdoc.asp?DDFDocuments/u/G/TBTN26/BDI719.docx", "https://docs.wto.org/imrd/directdoc.asp?DDFDocuments/u/G/TBTN26/BDI719.docx")</f>
        <v>https://docs.wto.org/imrd/directdoc.asp?DDFDocuments/u/G/TBTN26/BDI719.docx</v>
      </c>
      <c r="T442" t="str">
        <f>HYPERLINK("https://docs.wto.org/imrd/directdoc.asp?DDFDocuments/v/G/TBTN26/BDI719.docx", "https://docs.wto.org/imrd/directdoc.asp?DDFDocuments/v/G/TBTN26/BDI719.docx")</f>
        <v>https://docs.wto.org/imrd/directdoc.asp?DDFDocuments/v/G/TBTN26/BDI719.docx</v>
      </c>
      <c r="U442" t="s">
        <v>64</v>
      </c>
      <c r="V442" t="s">
        <v>46</v>
      </c>
      <c r="W442" t="s">
        <v>46</v>
      </c>
      <c r="X442" t="s">
        <v>46</v>
      </c>
      <c r="Y442" t="s">
        <v>46</v>
      </c>
      <c r="Z442" t="s">
        <v>46</v>
      </c>
      <c r="AA442" t="s">
        <v>46</v>
      </c>
      <c r="AB442" s="2" t="s">
        <v>2044</v>
      </c>
      <c r="AC442" t="s">
        <v>43</v>
      </c>
      <c r="AD442" t="s">
        <v>43</v>
      </c>
      <c r="AE442" t="s">
        <v>43</v>
      </c>
      <c r="AF442" t="s">
        <v>43</v>
      </c>
      <c r="AG442" t="s">
        <v>43</v>
      </c>
      <c r="AH442" s="2" t="s">
        <v>43</v>
      </c>
    </row>
    <row r="443" spans="1:34" ht="270">
      <c r="A443" s="6" t="s">
        <v>390</v>
      </c>
      <c r="B443" s="7">
        <v>46076</v>
      </c>
      <c r="C443" s="9" t="str">
        <f>HYPERLINK("https://eping.wto.org/en/Search?viewData= G/TBT/N/TZA/1505"," G/TBT/N/TZA/1505")</f>
        <v xml:space="preserve"> G/TBT/N/TZA/1505</v>
      </c>
      <c r="D443" s="8" t="s">
        <v>2142</v>
      </c>
      <c r="E443" s="8" t="s">
        <v>2143</v>
      </c>
      <c r="F443" s="8" t="s">
        <v>2144</v>
      </c>
      <c r="G443" s="8" t="s">
        <v>2145</v>
      </c>
      <c r="H443" s="8" t="s">
        <v>2146</v>
      </c>
      <c r="I443" s="8" t="s">
        <v>739</v>
      </c>
      <c r="J443" s="8" t="s">
        <v>43</v>
      </c>
      <c r="K443" s="8" t="s">
        <v>43</v>
      </c>
      <c r="L443" s="6"/>
      <c r="M443" s="7">
        <v>46136</v>
      </c>
      <c r="N443" s="7" t="s">
        <v>740</v>
      </c>
      <c r="O443" s="7" t="s">
        <v>79</v>
      </c>
      <c r="P443" s="6" t="s">
        <v>62</v>
      </c>
      <c r="Q443" s="8" t="s">
        <v>2147</v>
      </c>
      <c r="R443" t="str">
        <f>HYPERLINK("https://docs.wto.org/imrd/directdoc.asp?DDFDocuments/t/G/TBTN26/TZA1505.docx", "https://docs.wto.org/imrd/directdoc.asp?DDFDocuments/t/G/TBTN26/TZA1505.docx")</f>
        <v>https://docs.wto.org/imrd/directdoc.asp?DDFDocuments/t/G/TBTN26/TZA1505.docx</v>
      </c>
      <c r="S443" t="str">
        <f>HYPERLINK("https://docs.wto.org/imrd/directdoc.asp?DDFDocuments/u/G/TBTN26/TZA1505.docx", "https://docs.wto.org/imrd/directdoc.asp?DDFDocuments/u/G/TBTN26/TZA1505.docx")</f>
        <v>https://docs.wto.org/imrd/directdoc.asp?DDFDocuments/u/G/TBTN26/TZA1505.docx</v>
      </c>
      <c r="T443" t="str">
        <f>HYPERLINK("https://docs.wto.org/imrd/directdoc.asp?DDFDocuments/v/G/TBTN26/TZA1505.docx", "https://docs.wto.org/imrd/directdoc.asp?DDFDocuments/v/G/TBTN26/TZA1505.docx")</f>
        <v>https://docs.wto.org/imrd/directdoc.asp?DDFDocuments/v/G/TBTN26/TZA1505.docx</v>
      </c>
      <c r="U443" t="s">
        <v>64</v>
      </c>
      <c r="V443" t="s">
        <v>46</v>
      </c>
      <c r="W443" t="s">
        <v>46</v>
      </c>
      <c r="X443" t="s">
        <v>46</v>
      </c>
      <c r="Y443" t="s">
        <v>46</v>
      </c>
      <c r="Z443" t="s">
        <v>46</v>
      </c>
      <c r="AA443" t="s">
        <v>46</v>
      </c>
      <c r="AB443" s="2" t="s">
        <v>2148</v>
      </c>
      <c r="AC443" t="s">
        <v>43</v>
      </c>
      <c r="AD443" t="s">
        <v>43</v>
      </c>
      <c r="AE443" t="s">
        <v>43</v>
      </c>
      <c r="AF443" t="s">
        <v>43</v>
      </c>
      <c r="AG443" t="s">
        <v>43</v>
      </c>
      <c r="AH443" s="2" t="s">
        <v>43</v>
      </c>
    </row>
    <row r="444" spans="1:34" ht="30">
      <c r="A444" s="6" t="s">
        <v>880</v>
      </c>
      <c r="B444" s="7">
        <v>46076</v>
      </c>
      <c r="C444" s="9" t="str">
        <f>HYPERLINK("https://eping.wto.org/en/Search?viewData= G/SPS/N/ECU/384"," G/SPS/N/ECU/384")</f>
        <v xml:space="preserve"> G/SPS/N/ECU/384</v>
      </c>
      <c r="D444" s="8" t="s">
        <v>2149</v>
      </c>
      <c r="E444" s="8" t="s">
        <v>2150</v>
      </c>
      <c r="F444" s="8" t="s">
        <v>2151</v>
      </c>
      <c r="G444" s="8" t="s">
        <v>484</v>
      </c>
      <c r="H444" s="8" t="s">
        <v>43</v>
      </c>
      <c r="I444" s="8" t="s">
        <v>254</v>
      </c>
      <c r="J444" s="8" t="s">
        <v>43</v>
      </c>
      <c r="K444" s="8" t="s">
        <v>512</v>
      </c>
      <c r="L444" s="6" t="s">
        <v>89</v>
      </c>
      <c r="M444" s="7">
        <v>46106</v>
      </c>
      <c r="N444" s="7" t="s">
        <v>79</v>
      </c>
      <c r="O444" s="7" t="s">
        <v>79</v>
      </c>
      <c r="P444" s="6" t="s">
        <v>62</v>
      </c>
      <c r="Q444" s="8" t="s">
        <v>2152</v>
      </c>
      <c r="R444" t="str">
        <f>HYPERLINK("https://docs.wto.org/imrd/directdoc.asp?DDFDocuments/t/G/SPS/NECU384.docx", "https://docs.wto.org/imrd/directdoc.asp?DDFDocuments/t/G/SPS/NECU384.docx")</f>
        <v>https://docs.wto.org/imrd/directdoc.asp?DDFDocuments/t/G/SPS/NECU384.docx</v>
      </c>
      <c r="S444" t="str">
        <f>HYPERLINK("https://docs.wto.org/imrd/directdoc.asp?DDFDocuments/u/G/SPS/NECU384.docx", "https://docs.wto.org/imrd/directdoc.asp?DDFDocuments/u/G/SPS/NECU384.docx")</f>
        <v>https://docs.wto.org/imrd/directdoc.asp?DDFDocuments/u/G/SPS/NECU384.docx</v>
      </c>
      <c r="T444" t="str">
        <f>HYPERLINK("https://docs.wto.org/imrd/directdoc.asp?DDFDocuments/v/G/SPS/NECU384.docx", "https://docs.wto.org/imrd/directdoc.asp?DDFDocuments/v/G/SPS/NECU384.docx")</f>
        <v>https://docs.wto.org/imrd/directdoc.asp?DDFDocuments/v/G/SPS/NECU384.docx</v>
      </c>
      <c r="U444" t="s">
        <v>43</v>
      </c>
      <c r="V444" t="s">
        <v>43</v>
      </c>
      <c r="W444" t="s">
        <v>43</v>
      </c>
      <c r="X444" t="s">
        <v>43</v>
      </c>
      <c r="Y444" t="s">
        <v>43</v>
      </c>
      <c r="Z444" t="s">
        <v>43</v>
      </c>
      <c r="AA444" t="s">
        <v>43</v>
      </c>
      <c r="AB444" s="2" t="s">
        <v>43</v>
      </c>
      <c r="AC444" t="s">
        <v>46</v>
      </c>
      <c r="AD444" t="s">
        <v>46</v>
      </c>
      <c r="AE444" t="s">
        <v>46</v>
      </c>
      <c r="AF444" t="s">
        <v>64</v>
      </c>
      <c r="AG444" t="s">
        <v>99</v>
      </c>
      <c r="AH444" s="2" t="s">
        <v>43</v>
      </c>
    </row>
    <row r="445" spans="1:34" ht="90">
      <c r="A445" s="6" t="s">
        <v>124</v>
      </c>
      <c r="B445" s="7">
        <v>46076</v>
      </c>
      <c r="C445" s="9" t="str">
        <f>HYPERLINK("https://eping.wto.org/en/Search?viewData= G/TBT/N/BDI/716, G/TBT/N/KEN/1985, G/TBT/N/RWA/1354, G/TBT/N/TZA/1500, G/TBT/N/UGA/2315"," G/TBT/N/BDI/716, G/TBT/N/KEN/1985, G/TBT/N/RWA/1354, G/TBT/N/TZA/1500, G/TBT/N/UGA/2315")</f>
        <v xml:space="preserve"> G/TBT/N/BDI/716, G/TBT/N/KEN/1985, G/TBT/N/RWA/1354, G/TBT/N/TZA/1500, G/TBT/N/UGA/2315</v>
      </c>
      <c r="D445" s="8" t="s">
        <v>2045</v>
      </c>
      <c r="E445" s="8" t="s">
        <v>2046</v>
      </c>
      <c r="F445" s="8" t="s">
        <v>2047</v>
      </c>
      <c r="G445" s="8" t="s">
        <v>2048</v>
      </c>
      <c r="H445" s="8" t="s">
        <v>2049</v>
      </c>
      <c r="I445" s="8" t="s">
        <v>2050</v>
      </c>
      <c r="J445" s="8" t="s">
        <v>43</v>
      </c>
      <c r="K445" s="8" t="s">
        <v>43</v>
      </c>
      <c r="L445" s="6"/>
      <c r="M445" s="7">
        <v>46136</v>
      </c>
      <c r="N445" s="7" t="s">
        <v>740</v>
      </c>
      <c r="O445" s="7" t="s">
        <v>79</v>
      </c>
      <c r="P445" s="6" t="s">
        <v>62</v>
      </c>
      <c r="Q445" s="8" t="s">
        <v>2051</v>
      </c>
      <c r="R445" t="str">
        <f>HYPERLINK("https://docs.wto.org/imrd/directdoc.asp?DDFDocuments/t/G/TBTN26/BDI716.docx", "https://docs.wto.org/imrd/directdoc.asp?DDFDocuments/t/G/TBTN26/BDI716.docx")</f>
        <v>https://docs.wto.org/imrd/directdoc.asp?DDFDocuments/t/G/TBTN26/BDI716.docx</v>
      </c>
      <c r="S445" t="str">
        <f>HYPERLINK("https://docs.wto.org/imrd/directdoc.asp?DDFDocuments/u/G/TBTN26/BDI716.docx", "https://docs.wto.org/imrd/directdoc.asp?DDFDocuments/u/G/TBTN26/BDI716.docx")</f>
        <v>https://docs.wto.org/imrd/directdoc.asp?DDFDocuments/u/G/TBTN26/BDI716.docx</v>
      </c>
      <c r="T445" t="str">
        <f>HYPERLINK("https://docs.wto.org/imrd/directdoc.asp?DDFDocuments/v/G/TBTN26/BDI716.docx", "https://docs.wto.org/imrd/directdoc.asp?DDFDocuments/v/G/TBTN26/BDI716.docx")</f>
        <v>https://docs.wto.org/imrd/directdoc.asp?DDFDocuments/v/G/TBTN26/BDI716.docx</v>
      </c>
      <c r="U445" t="s">
        <v>64</v>
      </c>
      <c r="V445" t="s">
        <v>46</v>
      </c>
      <c r="W445" t="s">
        <v>46</v>
      </c>
      <c r="X445" t="s">
        <v>46</v>
      </c>
      <c r="Y445" t="s">
        <v>46</v>
      </c>
      <c r="Z445" t="s">
        <v>46</v>
      </c>
      <c r="AA445" t="s">
        <v>46</v>
      </c>
      <c r="AB445" s="2" t="s">
        <v>2052</v>
      </c>
      <c r="AC445" t="s">
        <v>43</v>
      </c>
      <c r="AD445" t="s">
        <v>43</v>
      </c>
      <c r="AE445" t="s">
        <v>43</v>
      </c>
      <c r="AF445" t="s">
        <v>43</v>
      </c>
      <c r="AG445" t="s">
        <v>43</v>
      </c>
      <c r="AH445" s="2" t="s">
        <v>43</v>
      </c>
    </row>
    <row r="446" spans="1:34" ht="75">
      <c r="A446" s="6" t="s">
        <v>108</v>
      </c>
      <c r="B446" s="7">
        <v>46076</v>
      </c>
      <c r="C446" s="9" t="str">
        <f>HYPERLINK("https://eping.wto.org/en/Search?viewData= G/TBT/N/BDI/715, G/TBT/N/KEN/1984, G/TBT/N/RWA/1353, G/TBT/N/TZA/1499, G/TBT/N/UGA/2314"," G/TBT/N/BDI/715, G/TBT/N/KEN/1984, G/TBT/N/RWA/1353, G/TBT/N/TZA/1499, G/TBT/N/UGA/2314")</f>
        <v xml:space="preserve"> G/TBT/N/BDI/715, G/TBT/N/KEN/1984, G/TBT/N/RWA/1353, G/TBT/N/TZA/1499, G/TBT/N/UGA/2314</v>
      </c>
      <c r="D446" s="8" t="s">
        <v>2153</v>
      </c>
      <c r="E446" s="8" t="s">
        <v>2154</v>
      </c>
      <c r="F446" s="8" t="s">
        <v>2047</v>
      </c>
      <c r="G446" s="8" t="s">
        <v>2048</v>
      </c>
      <c r="H446" s="8" t="s">
        <v>2049</v>
      </c>
      <c r="I446" s="8" t="s">
        <v>2155</v>
      </c>
      <c r="J446" s="8" t="s">
        <v>43</v>
      </c>
      <c r="K446" s="8" t="s">
        <v>43</v>
      </c>
      <c r="L446" s="6"/>
      <c r="M446" s="7">
        <v>46136</v>
      </c>
      <c r="N446" s="7" t="s">
        <v>740</v>
      </c>
      <c r="O446" s="7" t="s">
        <v>79</v>
      </c>
      <c r="P446" s="6" t="s">
        <v>62</v>
      </c>
      <c r="Q446" s="8" t="s">
        <v>2156</v>
      </c>
      <c r="R446" t="str">
        <f>HYPERLINK("https://docs.wto.org/imrd/directdoc.asp?DDFDocuments/t/G/TBTN26/BDI715.docx", "https://docs.wto.org/imrd/directdoc.asp?DDFDocuments/t/G/TBTN26/BDI715.docx")</f>
        <v>https://docs.wto.org/imrd/directdoc.asp?DDFDocuments/t/G/TBTN26/BDI715.docx</v>
      </c>
      <c r="S446" t="str">
        <f>HYPERLINK("https://docs.wto.org/imrd/directdoc.asp?DDFDocuments/u/G/TBTN26/BDI715.docx", "https://docs.wto.org/imrd/directdoc.asp?DDFDocuments/u/G/TBTN26/BDI715.docx")</f>
        <v>https://docs.wto.org/imrd/directdoc.asp?DDFDocuments/u/G/TBTN26/BDI715.docx</v>
      </c>
      <c r="T446" t="str">
        <f>HYPERLINK("https://docs.wto.org/imrd/directdoc.asp?DDFDocuments/v/G/TBTN26/BDI715.docx", "https://docs.wto.org/imrd/directdoc.asp?DDFDocuments/v/G/TBTN26/BDI715.docx")</f>
        <v>https://docs.wto.org/imrd/directdoc.asp?DDFDocuments/v/G/TBTN26/BDI715.docx</v>
      </c>
      <c r="U446" t="s">
        <v>64</v>
      </c>
      <c r="V446" t="s">
        <v>46</v>
      </c>
      <c r="W446" t="s">
        <v>46</v>
      </c>
      <c r="X446" t="s">
        <v>46</v>
      </c>
      <c r="Y446" t="s">
        <v>46</v>
      </c>
      <c r="Z446" t="s">
        <v>46</v>
      </c>
      <c r="AA446" t="s">
        <v>46</v>
      </c>
      <c r="AB446" s="2" t="s">
        <v>2157</v>
      </c>
      <c r="AC446" t="s">
        <v>43</v>
      </c>
      <c r="AD446" t="s">
        <v>43</v>
      </c>
      <c r="AE446" t="s">
        <v>43</v>
      </c>
      <c r="AF446" t="s">
        <v>43</v>
      </c>
      <c r="AG446" t="s">
        <v>43</v>
      </c>
      <c r="AH446" s="2" t="s">
        <v>43</v>
      </c>
    </row>
    <row r="447" spans="1:34" ht="210">
      <c r="A447" s="6" t="s">
        <v>1814</v>
      </c>
      <c r="B447" s="7">
        <v>46076</v>
      </c>
      <c r="C447" s="9" t="str">
        <f>HYPERLINK("https://eping.wto.org/en/Search?viewData= G/SPS/N/GBR/119/Corr.1"," G/SPS/N/GBR/119/Corr.1")</f>
        <v xml:space="preserve"> G/SPS/N/GBR/119/Corr.1</v>
      </c>
      <c r="D447" s="8" t="s">
        <v>2158</v>
      </c>
      <c r="E447" s="8" t="s">
        <v>2159</v>
      </c>
      <c r="F447" s="8" t="s">
        <v>2160</v>
      </c>
      <c r="G447" s="8" t="s">
        <v>2161</v>
      </c>
      <c r="H447" s="8" t="s">
        <v>43</v>
      </c>
      <c r="I447" s="8" t="s">
        <v>58</v>
      </c>
      <c r="J447" s="8" t="s">
        <v>43</v>
      </c>
      <c r="K447" s="8" t="s">
        <v>2162</v>
      </c>
      <c r="L447" s="6"/>
      <c r="M447" s="7" t="s">
        <v>43</v>
      </c>
      <c r="N447" s="7"/>
      <c r="O447" s="7"/>
      <c r="P447" s="6" t="s">
        <v>296</v>
      </c>
      <c r="Q447" s="6"/>
      <c r="R447" t="str">
        <f>HYPERLINK("https://docs.wto.org/imrd/directdoc.asp?DDFDocuments/t/G/SPS/NGBR119C1.docx", "https://docs.wto.org/imrd/directdoc.asp?DDFDocuments/t/G/SPS/NGBR119C1.docx")</f>
        <v>https://docs.wto.org/imrd/directdoc.asp?DDFDocuments/t/G/SPS/NGBR119C1.docx</v>
      </c>
      <c r="S447" t="str">
        <f>HYPERLINK("https://docs.wto.org/imrd/directdoc.asp?DDFDocuments/u/G/SPS/NGBR119C1.docx", "https://docs.wto.org/imrd/directdoc.asp?DDFDocuments/u/G/SPS/NGBR119C1.docx")</f>
        <v>https://docs.wto.org/imrd/directdoc.asp?DDFDocuments/u/G/SPS/NGBR119C1.docx</v>
      </c>
      <c r="T447" t="str">
        <f>HYPERLINK("https://docs.wto.org/imrd/directdoc.asp?DDFDocuments/v/G/SPS/NGBR119C1.docx", "https://docs.wto.org/imrd/directdoc.asp?DDFDocuments/v/G/SPS/NGBR119C1.docx")</f>
        <v>https://docs.wto.org/imrd/directdoc.asp?DDFDocuments/v/G/SPS/NGBR119C1.docx</v>
      </c>
      <c r="U447" t="s">
        <v>43</v>
      </c>
      <c r="V447" t="s">
        <v>43</v>
      </c>
      <c r="W447" t="s">
        <v>43</v>
      </c>
      <c r="X447" t="s">
        <v>43</v>
      </c>
      <c r="Y447" t="s">
        <v>43</v>
      </c>
      <c r="Z447" t="s">
        <v>43</v>
      </c>
      <c r="AA447" t="s">
        <v>43</v>
      </c>
      <c r="AB447" s="2" t="s">
        <v>43</v>
      </c>
      <c r="AC447" t="s">
        <v>43</v>
      </c>
      <c r="AD447" t="s">
        <v>43</v>
      </c>
      <c r="AE447" t="s">
        <v>43</v>
      </c>
      <c r="AF447" t="s">
        <v>43</v>
      </c>
      <c r="AG447" t="s">
        <v>43</v>
      </c>
      <c r="AH447" s="2" t="s">
        <v>43</v>
      </c>
    </row>
    <row r="448" spans="1:34" ht="45">
      <c r="A448" s="6" t="s">
        <v>880</v>
      </c>
      <c r="B448" s="7">
        <v>46076</v>
      </c>
      <c r="C448" s="9" t="str">
        <f>HYPERLINK("https://eping.wto.org/en/Search?viewData= G/SPS/N/ECU/385"," G/SPS/N/ECU/385")</f>
        <v xml:space="preserve"> G/SPS/N/ECU/385</v>
      </c>
      <c r="D448" s="8" t="s">
        <v>2163</v>
      </c>
      <c r="E448" s="8" t="s">
        <v>2164</v>
      </c>
      <c r="F448" s="8" t="s">
        <v>2165</v>
      </c>
      <c r="G448" s="8" t="s">
        <v>2166</v>
      </c>
      <c r="H448" s="8" t="s">
        <v>43</v>
      </c>
      <c r="I448" s="8" t="s">
        <v>254</v>
      </c>
      <c r="J448" s="8" t="s">
        <v>43</v>
      </c>
      <c r="K448" s="8" t="s">
        <v>512</v>
      </c>
      <c r="L448" s="6" t="s">
        <v>911</v>
      </c>
      <c r="M448" s="7">
        <v>46136</v>
      </c>
      <c r="N448" s="7" t="s">
        <v>79</v>
      </c>
      <c r="O448" s="7" t="s">
        <v>79</v>
      </c>
      <c r="P448" s="6" t="s">
        <v>62</v>
      </c>
      <c r="Q448" s="8" t="s">
        <v>2167</v>
      </c>
      <c r="R448" t="str">
        <f>HYPERLINK("https://docs.wto.org/imrd/directdoc.asp?DDFDocuments/t/G/SPS/NECU385.docx", "https://docs.wto.org/imrd/directdoc.asp?DDFDocuments/t/G/SPS/NECU385.docx")</f>
        <v>https://docs.wto.org/imrd/directdoc.asp?DDFDocuments/t/G/SPS/NECU385.docx</v>
      </c>
      <c r="S448" t="str">
        <f>HYPERLINK("https://docs.wto.org/imrd/directdoc.asp?DDFDocuments/u/G/SPS/NECU385.docx", "https://docs.wto.org/imrd/directdoc.asp?DDFDocuments/u/G/SPS/NECU385.docx")</f>
        <v>https://docs.wto.org/imrd/directdoc.asp?DDFDocuments/u/G/SPS/NECU385.docx</v>
      </c>
      <c r="T448" t="str">
        <f>HYPERLINK("https://docs.wto.org/imrd/directdoc.asp?DDFDocuments/v/G/SPS/NECU385.docx", "https://docs.wto.org/imrd/directdoc.asp?DDFDocuments/v/G/SPS/NECU385.docx")</f>
        <v>https://docs.wto.org/imrd/directdoc.asp?DDFDocuments/v/G/SPS/NECU385.docx</v>
      </c>
      <c r="U448" t="s">
        <v>43</v>
      </c>
      <c r="V448" t="s">
        <v>43</v>
      </c>
      <c r="W448" t="s">
        <v>43</v>
      </c>
      <c r="X448" t="s">
        <v>43</v>
      </c>
      <c r="Y448" t="s">
        <v>43</v>
      </c>
      <c r="Z448" t="s">
        <v>43</v>
      </c>
      <c r="AA448" t="s">
        <v>43</v>
      </c>
      <c r="AB448" s="2" t="s">
        <v>43</v>
      </c>
      <c r="AC448" t="s">
        <v>46</v>
      </c>
      <c r="AD448" t="s">
        <v>46</v>
      </c>
      <c r="AE448" t="s">
        <v>46</v>
      </c>
      <c r="AF448" t="s">
        <v>64</v>
      </c>
      <c r="AG448" t="s">
        <v>99</v>
      </c>
      <c r="AH448" s="2" t="s">
        <v>43</v>
      </c>
    </row>
    <row r="449" spans="1:34" ht="30">
      <c r="A449" s="6" t="s">
        <v>89</v>
      </c>
      <c r="B449" s="7">
        <v>46076</v>
      </c>
      <c r="C449" s="9" t="str">
        <f>HYPERLINK("https://eping.wto.org/en/Search?viewData= G/SPS/N/CRI/349"," G/SPS/N/CRI/349")</f>
        <v xml:space="preserve"> G/SPS/N/CRI/349</v>
      </c>
      <c r="D449" s="8" t="s">
        <v>2168</v>
      </c>
      <c r="E449" s="8" t="s">
        <v>2169</v>
      </c>
      <c r="F449" s="8" t="s">
        <v>2170</v>
      </c>
      <c r="G449" s="8" t="s">
        <v>2171</v>
      </c>
      <c r="H449" s="8" t="s">
        <v>43</v>
      </c>
      <c r="I449" s="8" t="s">
        <v>94</v>
      </c>
      <c r="J449" s="8" t="s">
        <v>43</v>
      </c>
      <c r="K449" s="8" t="s">
        <v>1706</v>
      </c>
      <c r="L449" s="6" t="s">
        <v>47</v>
      </c>
      <c r="M449" s="7">
        <v>46136</v>
      </c>
      <c r="N449" s="7" t="s">
        <v>79</v>
      </c>
      <c r="O449" s="7" t="s">
        <v>2172</v>
      </c>
      <c r="P449" s="6" t="s">
        <v>62</v>
      </c>
      <c r="Q449" s="8" t="s">
        <v>2173</v>
      </c>
      <c r="R449" t="str">
        <f>HYPERLINK("https://docs.wto.org/imrd/directdoc.asp?DDFDocuments/t/G/SPS/NCRI349.docx", "https://docs.wto.org/imrd/directdoc.asp?DDFDocuments/t/G/SPS/NCRI349.docx")</f>
        <v>https://docs.wto.org/imrd/directdoc.asp?DDFDocuments/t/G/SPS/NCRI349.docx</v>
      </c>
      <c r="S449" t="str">
        <f>HYPERLINK("https://docs.wto.org/imrd/directdoc.asp?DDFDocuments/u/G/SPS/NCRI349.docx", "https://docs.wto.org/imrd/directdoc.asp?DDFDocuments/u/G/SPS/NCRI349.docx")</f>
        <v>https://docs.wto.org/imrd/directdoc.asp?DDFDocuments/u/G/SPS/NCRI349.docx</v>
      </c>
      <c r="T449" t="str">
        <f>HYPERLINK("https://docs.wto.org/imrd/directdoc.asp?DDFDocuments/v/G/SPS/NCRI349.docx", "https://docs.wto.org/imrd/directdoc.asp?DDFDocuments/v/G/SPS/NCRI349.docx")</f>
        <v>https://docs.wto.org/imrd/directdoc.asp?DDFDocuments/v/G/SPS/NCRI349.docx</v>
      </c>
      <c r="U449" t="s">
        <v>43</v>
      </c>
      <c r="V449" t="s">
        <v>43</v>
      </c>
      <c r="W449" t="s">
        <v>43</v>
      </c>
      <c r="X449" t="s">
        <v>43</v>
      </c>
      <c r="Y449" t="s">
        <v>43</v>
      </c>
      <c r="Z449" t="s">
        <v>43</v>
      </c>
      <c r="AA449" t="s">
        <v>43</v>
      </c>
      <c r="AB449" s="2" t="s">
        <v>43</v>
      </c>
      <c r="AC449" t="s">
        <v>46</v>
      </c>
      <c r="AD449" t="s">
        <v>46</v>
      </c>
      <c r="AE449" t="s">
        <v>46</v>
      </c>
      <c r="AF449" t="s">
        <v>64</v>
      </c>
      <c r="AG449" t="s">
        <v>99</v>
      </c>
      <c r="AH449" s="2" t="s">
        <v>43</v>
      </c>
    </row>
    <row r="450" spans="1:34" ht="75">
      <c r="A450" s="6" t="s">
        <v>390</v>
      </c>
      <c r="B450" s="7">
        <v>46076</v>
      </c>
      <c r="C450" s="9" t="str">
        <f>HYPERLINK("https://eping.wto.org/en/Search?viewData= G/TBT/N/BDI/715, G/TBT/N/KEN/1984, G/TBT/N/RWA/1353, G/TBT/N/TZA/1499, G/TBT/N/UGA/2314"," G/TBT/N/BDI/715, G/TBT/N/KEN/1984, G/TBT/N/RWA/1353, G/TBT/N/TZA/1499, G/TBT/N/UGA/2314")</f>
        <v xml:space="preserve"> G/TBT/N/BDI/715, G/TBT/N/KEN/1984, G/TBT/N/RWA/1353, G/TBT/N/TZA/1499, G/TBT/N/UGA/2314</v>
      </c>
      <c r="D450" s="8" t="s">
        <v>2153</v>
      </c>
      <c r="E450" s="8" t="s">
        <v>2154</v>
      </c>
      <c r="F450" s="8" t="s">
        <v>2047</v>
      </c>
      <c r="G450" s="8" t="s">
        <v>2048</v>
      </c>
      <c r="H450" s="8" t="s">
        <v>2049</v>
      </c>
      <c r="I450" s="8" t="s">
        <v>2155</v>
      </c>
      <c r="J450" s="8" t="s">
        <v>43</v>
      </c>
      <c r="K450" s="8" t="s">
        <v>43</v>
      </c>
      <c r="L450" s="6"/>
      <c r="M450" s="7">
        <v>46136</v>
      </c>
      <c r="N450" s="7" t="s">
        <v>740</v>
      </c>
      <c r="O450" s="7" t="s">
        <v>79</v>
      </c>
      <c r="P450" s="6" t="s">
        <v>62</v>
      </c>
      <c r="Q450" s="8" t="s">
        <v>2156</v>
      </c>
      <c r="R450" t="str">
        <f>HYPERLINK("https://docs.wto.org/imrd/directdoc.asp?DDFDocuments/t/G/TBTN26/BDI715.docx", "https://docs.wto.org/imrd/directdoc.asp?DDFDocuments/t/G/TBTN26/BDI715.docx")</f>
        <v>https://docs.wto.org/imrd/directdoc.asp?DDFDocuments/t/G/TBTN26/BDI715.docx</v>
      </c>
      <c r="S450" t="str">
        <f>HYPERLINK("https://docs.wto.org/imrd/directdoc.asp?DDFDocuments/u/G/TBTN26/BDI715.docx", "https://docs.wto.org/imrd/directdoc.asp?DDFDocuments/u/G/TBTN26/BDI715.docx")</f>
        <v>https://docs.wto.org/imrd/directdoc.asp?DDFDocuments/u/G/TBTN26/BDI715.docx</v>
      </c>
      <c r="T450" t="str">
        <f>HYPERLINK("https://docs.wto.org/imrd/directdoc.asp?DDFDocuments/v/G/TBTN26/BDI715.docx", "https://docs.wto.org/imrd/directdoc.asp?DDFDocuments/v/G/TBTN26/BDI715.docx")</f>
        <v>https://docs.wto.org/imrd/directdoc.asp?DDFDocuments/v/G/TBTN26/BDI715.docx</v>
      </c>
      <c r="U450" t="s">
        <v>64</v>
      </c>
      <c r="V450" t="s">
        <v>46</v>
      </c>
      <c r="W450" t="s">
        <v>46</v>
      </c>
      <c r="X450" t="s">
        <v>46</v>
      </c>
      <c r="Y450" t="s">
        <v>46</v>
      </c>
      <c r="Z450" t="s">
        <v>46</v>
      </c>
      <c r="AA450" t="s">
        <v>46</v>
      </c>
      <c r="AB450" s="2" t="s">
        <v>2157</v>
      </c>
      <c r="AC450" t="s">
        <v>43</v>
      </c>
      <c r="AD450" t="s">
        <v>43</v>
      </c>
      <c r="AE450" t="s">
        <v>43</v>
      </c>
      <c r="AF450" t="s">
        <v>43</v>
      </c>
      <c r="AG450" t="s">
        <v>43</v>
      </c>
      <c r="AH450" s="2" t="s">
        <v>43</v>
      </c>
    </row>
    <row r="451" spans="1:34" ht="225">
      <c r="A451" s="6" t="s">
        <v>108</v>
      </c>
      <c r="B451" s="7">
        <v>46076</v>
      </c>
      <c r="C451" s="9" t="str">
        <f>HYPERLINK("https://eping.wto.org/en/Search?viewData= G/TBT/N/RWA/1350"," G/TBT/N/RWA/1350")</f>
        <v xml:space="preserve"> G/TBT/N/RWA/1350</v>
      </c>
      <c r="D451" s="8" t="s">
        <v>2174</v>
      </c>
      <c r="E451" s="8" t="s">
        <v>2175</v>
      </c>
      <c r="F451" s="8" t="s">
        <v>2124</v>
      </c>
      <c r="G451" s="8" t="s">
        <v>43</v>
      </c>
      <c r="H451" s="8" t="s">
        <v>2125</v>
      </c>
      <c r="I451" s="8" t="s">
        <v>113</v>
      </c>
      <c r="J451" s="8" t="s">
        <v>43</v>
      </c>
      <c r="K451" s="8" t="s">
        <v>43</v>
      </c>
      <c r="L451" s="6"/>
      <c r="M451" s="7">
        <v>46136</v>
      </c>
      <c r="N451" s="7" t="s">
        <v>79</v>
      </c>
      <c r="O451" s="7" t="s">
        <v>114</v>
      </c>
      <c r="P451" s="6" t="s">
        <v>62</v>
      </c>
      <c r="Q451" s="8" t="s">
        <v>2176</v>
      </c>
      <c r="R451" t="str">
        <f>HYPERLINK("https://docs.wto.org/imrd/directdoc.asp?DDFDocuments/t/G/TBTN26/RWA1350.docx", "https://docs.wto.org/imrd/directdoc.asp?DDFDocuments/t/G/TBTN26/RWA1350.docx")</f>
        <v>https://docs.wto.org/imrd/directdoc.asp?DDFDocuments/t/G/TBTN26/RWA1350.docx</v>
      </c>
      <c r="S451" t="str">
        <f>HYPERLINK("https://docs.wto.org/imrd/directdoc.asp?DDFDocuments/u/G/TBTN26/RWA1350.docx", "https://docs.wto.org/imrd/directdoc.asp?DDFDocuments/u/G/TBTN26/RWA1350.docx")</f>
        <v>https://docs.wto.org/imrd/directdoc.asp?DDFDocuments/u/G/TBTN26/RWA1350.docx</v>
      </c>
      <c r="T451" t="str">
        <f>HYPERLINK("https://docs.wto.org/imrd/directdoc.asp?DDFDocuments/v/G/TBTN26/RWA1350.docx", "https://docs.wto.org/imrd/directdoc.asp?DDFDocuments/v/G/TBTN26/RWA1350.docx")</f>
        <v>https://docs.wto.org/imrd/directdoc.asp?DDFDocuments/v/G/TBTN26/RWA1350.docx</v>
      </c>
      <c r="U451" t="s">
        <v>64</v>
      </c>
      <c r="V451" t="s">
        <v>46</v>
      </c>
      <c r="W451" t="s">
        <v>46</v>
      </c>
      <c r="X451" t="s">
        <v>46</v>
      </c>
      <c r="Y451" t="s">
        <v>46</v>
      </c>
      <c r="Z451" t="s">
        <v>46</v>
      </c>
      <c r="AA451" t="s">
        <v>46</v>
      </c>
      <c r="AB451" s="2" t="s">
        <v>2177</v>
      </c>
      <c r="AC451" t="s">
        <v>43</v>
      </c>
      <c r="AD451" t="s">
        <v>43</v>
      </c>
      <c r="AE451" t="s">
        <v>43</v>
      </c>
      <c r="AF451" t="s">
        <v>43</v>
      </c>
      <c r="AG451" t="s">
        <v>43</v>
      </c>
      <c r="AH451" s="2" t="s">
        <v>43</v>
      </c>
    </row>
    <row r="452" spans="1:34" ht="195">
      <c r="A452" s="6" t="s">
        <v>488</v>
      </c>
      <c r="B452" s="7">
        <v>46076</v>
      </c>
      <c r="C452" s="9" t="str">
        <f>HYPERLINK("https://eping.wto.org/en/Search?viewData= G/SPS/N/ZAF/88/Add.1/Corr.1"," G/SPS/N/ZAF/88/Add.1/Corr.1")</f>
        <v xml:space="preserve"> G/SPS/N/ZAF/88/Add.1/Corr.1</v>
      </c>
      <c r="D452" s="8" t="s">
        <v>2178</v>
      </c>
      <c r="E452" s="8" t="s">
        <v>2179</v>
      </c>
      <c r="F452" s="8" t="s">
        <v>2180</v>
      </c>
      <c r="G452" s="8" t="s">
        <v>2181</v>
      </c>
      <c r="H452" s="8" t="s">
        <v>2182</v>
      </c>
      <c r="I452" s="8" t="s">
        <v>58</v>
      </c>
      <c r="J452" s="8" t="s">
        <v>43</v>
      </c>
      <c r="K452" s="8" t="s">
        <v>2183</v>
      </c>
      <c r="L452" s="6"/>
      <c r="M452" s="7" t="s">
        <v>43</v>
      </c>
      <c r="N452" s="7"/>
      <c r="O452" s="7"/>
      <c r="P452" s="6" t="s">
        <v>296</v>
      </c>
      <c r="Q452" s="8" t="s">
        <v>2184</v>
      </c>
      <c r="R452" t="str">
        <f>HYPERLINK("https://docs.wto.org/imrd/directdoc.asp?DDFDocuments/t/G/SPS/NZAF88A1C1.docx", "https://docs.wto.org/imrd/directdoc.asp?DDFDocuments/t/G/SPS/NZAF88A1C1.docx")</f>
        <v>https://docs.wto.org/imrd/directdoc.asp?DDFDocuments/t/G/SPS/NZAF88A1C1.docx</v>
      </c>
      <c r="S452" t="str">
        <f>HYPERLINK("https://docs.wto.org/imrd/directdoc.asp?DDFDocuments/u/G/SPS/NZAF88A1C1.docx", "https://docs.wto.org/imrd/directdoc.asp?DDFDocuments/u/G/SPS/NZAF88A1C1.docx")</f>
        <v>https://docs.wto.org/imrd/directdoc.asp?DDFDocuments/u/G/SPS/NZAF88A1C1.docx</v>
      </c>
      <c r="T452" t="str">
        <f>HYPERLINK("https://docs.wto.org/imrd/directdoc.asp?DDFDocuments/v/G/SPS/NZAF88A1C1.docx", "https://docs.wto.org/imrd/directdoc.asp?DDFDocuments/v/G/SPS/NZAF88A1C1.docx")</f>
        <v>https://docs.wto.org/imrd/directdoc.asp?DDFDocuments/v/G/SPS/NZAF88A1C1.docx</v>
      </c>
      <c r="U452" t="s">
        <v>43</v>
      </c>
      <c r="V452" t="s">
        <v>43</v>
      </c>
      <c r="W452" t="s">
        <v>43</v>
      </c>
      <c r="X452" t="s">
        <v>43</v>
      </c>
      <c r="Y452" t="s">
        <v>43</v>
      </c>
      <c r="Z452" t="s">
        <v>43</v>
      </c>
      <c r="AA452" t="s">
        <v>43</v>
      </c>
      <c r="AB452" s="2" t="s">
        <v>43</v>
      </c>
      <c r="AC452" t="s">
        <v>43</v>
      </c>
      <c r="AD452" t="s">
        <v>43</v>
      </c>
      <c r="AE452" t="s">
        <v>43</v>
      </c>
      <c r="AF452" t="s">
        <v>43</v>
      </c>
      <c r="AG452" t="s">
        <v>43</v>
      </c>
      <c r="AH452" s="2" t="s">
        <v>43</v>
      </c>
    </row>
    <row r="453" spans="1:34" ht="75">
      <c r="A453" s="6" t="s">
        <v>509</v>
      </c>
      <c r="B453" s="7">
        <v>46076</v>
      </c>
      <c r="C453" s="9" t="str">
        <f>HYPERLINK("https://eping.wto.org/en/Search?viewData= G/TBT/N/BDI/715, G/TBT/N/KEN/1984, G/TBT/N/RWA/1353, G/TBT/N/TZA/1499, G/TBT/N/UGA/2314"," G/TBT/N/BDI/715, G/TBT/N/KEN/1984, G/TBT/N/RWA/1353, G/TBT/N/TZA/1499, G/TBT/N/UGA/2314")</f>
        <v xml:space="preserve"> G/TBT/N/BDI/715, G/TBT/N/KEN/1984, G/TBT/N/RWA/1353, G/TBT/N/TZA/1499, G/TBT/N/UGA/2314</v>
      </c>
      <c r="D453" s="8" t="s">
        <v>2153</v>
      </c>
      <c r="E453" s="8" t="s">
        <v>2154</v>
      </c>
      <c r="F453" s="8" t="s">
        <v>2047</v>
      </c>
      <c r="G453" s="8" t="s">
        <v>2048</v>
      </c>
      <c r="H453" s="8" t="s">
        <v>2049</v>
      </c>
      <c r="I453" s="8" t="s">
        <v>2155</v>
      </c>
      <c r="J453" s="8" t="s">
        <v>43</v>
      </c>
      <c r="K453" s="8" t="s">
        <v>43</v>
      </c>
      <c r="L453" s="6"/>
      <c r="M453" s="7">
        <v>46136</v>
      </c>
      <c r="N453" s="7" t="s">
        <v>740</v>
      </c>
      <c r="O453" s="7" t="s">
        <v>79</v>
      </c>
      <c r="P453" s="6" t="s">
        <v>62</v>
      </c>
      <c r="Q453" s="8" t="s">
        <v>2156</v>
      </c>
      <c r="R453" t="str">
        <f>HYPERLINK("https://docs.wto.org/imrd/directdoc.asp?DDFDocuments/t/G/TBTN26/BDI715.docx", "https://docs.wto.org/imrd/directdoc.asp?DDFDocuments/t/G/TBTN26/BDI715.docx")</f>
        <v>https://docs.wto.org/imrd/directdoc.asp?DDFDocuments/t/G/TBTN26/BDI715.docx</v>
      </c>
      <c r="S453" t="str">
        <f>HYPERLINK("https://docs.wto.org/imrd/directdoc.asp?DDFDocuments/u/G/TBTN26/BDI715.docx", "https://docs.wto.org/imrd/directdoc.asp?DDFDocuments/u/G/TBTN26/BDI715.docx")</f>
        <v>https://docs.wto.org/imrd/directdoc.asp?DDFDocuments/u/G/TBTN26/BDI715.docx</v>
      </c>
      <c r="T453" t="str">
        <f>HYPERLINK("https://docs.wto.org/imrd/directdoc.asp?DDFDocuments/v/G/TBTN26/BDI715.docx", "https://docs.wto.org/imrd/directdoc.asp?DDFDocuments/v/G/TBTN26/BDI715.docx")</f>
        <v>https://docs.wto.org/imrd/directdoc.asp?DDFDocuments/v/G/TBTN26/BDI715.docx</v>
      </c>
      <c r="U453" t="s">
        <v>64</v>
      </c>
      <c r="V453" t="s">
        <v>46</v>
      </c>
      <c r="W453" t="s">
        <v>46</v>
      </c>
      <c r="X453" t="s">
        <v>46</v>
      </c>
      <c r="Y453" t="s">
        <v>46</v>
      </c>
      <c r="Z453" t="s">
        <v>46</v>
      </c>
      <c r="AA453" t="s">
        <v>46</v>
      </c>
      <c r="AB453" s="2" t="s">
        <v>2157</v>
      </c>
      <c r="AC453" t="s">
        <v>43</v>
      </c>
      <c r="AD453" t="s">
        <v>43</v>
      </c>
      <c r="AE453" t="s">
        <v>43</v>
      </c>
      <c r="AF453" t="s">
        <v>43</v>
      </c>
      <c r="AG453" t="s">
        <v>43</v>
      </c>
      <c r="AH453" s="2" t="s">
        <v>43</v>
      </c>
    </row>
    <row r="454" spans="1:34" ht="315">
      <c r="A454" s="6" t="s">
        <v>132</v>
      </c>
      <c r="B454" s="7">
        <v>46076</v>
      </c>
      <c r="C454" s="9" t="str">
        <f>HYPERLINK("https://eping.wto.org/en/Search?viewData= G/TBT/N/USA/564/Add.13"," G/TBT/N/USA/564/Add.13")</f>
        <v xml:space="preserve"> G/TBT/N/USA/564/Add.13</v>
      </c>
      <c r="D454" s="8" t="s">
        <v>2185</v>
      </c>
      <c r="E454" s="8" t="s">
        <v>2186</v>
      </c>
      <c r="F454" s="8" t="s">
        <v>2187</v>
      </c>
      <c r="G454" s="8" t="s">
        <v>43</v>
      </c>
      <c r="H454" s="8" t="s">
        <v>2188</v>
      </c>
      <c r="I454" s="8" t="s">
        <v>343</v>
      </c>
      <c r="J454" s="8" t="s">
        <v>2189</v>
      </c>
      <c r="K454" s="8" t="s">
        <v>43</v>
      </c>
      <c r="L454" s="6"/>
      <c r="M454" s="7" t="s">
        <v>43</v>
      </c>
      <c r="N454" s="7"/>
      <c r="O454" s="7"/>
      <c r="P454" s="6" t="s">
        <v>44</v>
      </c>
      <c r="Q454" s="8" t="s">
        <v>2190</v>
      </c>
      <c r="R454" t="str">
        <f>HYPERLINK("https://docs.wto.org/imrd/directdoc.asp?DDFDocuments/t/G/TBTN10/USA564A13.docx", "https://docs.wto.org/imrd/directdoc.asp?DDFDocuments/t/G/TBTN10/USA564A13.docx")</f>
        <v>https://docs.wto.org/imrd/directdoc.asp?DDFDocuments/t/G/TBTN10/USA564A13.docx</v>
      </c>
      <c r="S454" t="str">
        <f>HYPERLINK("https://docs.wto.org/imrd/directdoc.asp?DDFDocuments/u/G/TBTN10/USA564A13.docx", "https://docs.wto.org/imrd/directdoc.asp?DDFDocuments/u/G/TBTN10/USA564A13.docx")</f>
        <v>https://docs.wto.org/imrd/directdoc.asp?DDFDocuments/u/G/TBTN10/USA564A13.docx</v>
      </c>
      <c r="T454" t="str">
        <f>HYPERLINK("https://docs.wto.org/imrd/directdoc.asp?DDFDocuments/v/G/TBTN10/USA564A13.docx", "https://docs.wto.org/imrd/directdoc.asp?DDFDocuments/v/G/TBTN10/USA564A13.docx")</f>
        <v>https://docs.wto.org/imrd/directdoc.asp?DDFDocuments/v/G/TBTN10/USA564A13.docx</v>
      </c>
      <c r="U454" t="s">
        <v>64</v>
      </c>
      <c r="V454" t="s">
        <v>46</v>
      </c>
      <c r="W454" t="s">
        <v>46</v>
      </c>
      <c r="X454" t="s">
        <v>46</v>
      </c>
      <c r="Y454" t="s">
        <v>46</v>
      </c>
      <c r="Z454" t="s">
        <v>46</v>
      </c>
      <c r="AA454" t="s">
        <v>46</v>
      </c>
      <c r="AB454" s="2" t="s">
        <v>43</v>
      </c>
      <c r="AC454" t="s">
        <v>43</v>
      </c>
      <c r="AD454" t="s">
        <v>43</v>
      </c>
      <c r="AE454" t="s">
        <v>43</v>
      </c>
      <c r="AF454" t="s">
        <v>43</v>
      </c>
      <c r="AG454" t="s">
        <v>43</v>
      </c>
      <c r="AH454" s="2" t="s">
        <v>43</v>
      </c>
    </row>
    <row r="455" spans="1:34" ht="180">
      <c r="A455" s="6" t="s">
        <v>108</v>
      </c>
      <c r="B455" s="7">
        <v>46076</v>
      </c>
      <c r="C455" s="9" t="str">
        <f>HYPERLINK("https://eping.wto.org/en/Search?viewData= G/TBT/N/RWA/1361"," G/TBT/N/RWA/1361")</f>
        <v xml:space="preserve"> G/TBT/N/RWA/1361</v>
      </c>
      <c r="D455" s="8" t="s">
        <v>2191</v>
      </c>
      <c r="E455" s="8" t="s">
        <v>2192</v>
      </c>
      <c r="F455" s="8" t="s">
        <v>2193</v>
      </c>
      <c r="G455" s="8" t="s">
        <v>43</v>
      </c>
      <c r="H455" s="8" t="s">
        <v>2194</v>
      </c>
      <c r="I455" s="8" t="s">
        <v>113</v>
      </c>
      <c r="J455" s="8" t="s">
        <v>43</v>
      </c>
      <c r="K455" s="8" t="s">
        <v>43</v>
      </c>
      <c r="L455" s="6"/>
      <c r="M455" s="7">
        <v>46136</v>
      </c>
      <c r="N455" s="7" t="s">
        <v>79</v>
      </c>
      <c r="O455" s="7" t="s">
        <v>114</v>
      </c>
      <c r="P455" s="6" t="s">
        <v>62</v>
      </c>
      <c r="Q455" s="8" t="s">
        <v>2195</v>
      </c>
      <c r="R455" t="str">
        <f>HYPERLINK("https://docs.wto.org/imrd/directdoc.asp?DDFDocuments/t/G/TBTN26/RWA1361.docx", "https://docs.wto.org/imrd/directdoc.asp?DDFDocuments/t/G/TBTN26/RWA1361.docx")</f>
        <v>https://docs.wto.org/imrd/directdoc.asp?DDFDocuments/t/G/TBTN26/RWA1361.docx</v>
      </c>
      <c r="S455" t="str">
        <f>HYPERLINK("https://docs.wto.org/imrd/directdoc.asp?DDFDocuments/u/G/TBTN26/RWA1361.docx", "https://docs.wto.org/imrd/directdoc.asp?DDFDocuments/u/G/TBTN26/RWA1361.docx")</f>
        <v>https://docs.wto.org/imrd/directdoc.asp?DDFDocuments/u/G/TBTN26/RWA1361.docx</v>
      </c>
      <c r="T455" t="str">
        <f>HYPERLINK("https://docs.wto.org/imrd/directdoc.asp?DDFDocuments/v/G/TBTN26/RWA1361.docx", "https://docs.wto.org/imrd/directdoc.asp?DDFDocuments/v/G/TBTN26/RWA1361.docx")</f>
        <v>https://docs.wto.org/imrd/directdoc.asp?DDFDocuments/v/G/TBTN26/RWA1361.docx</v>
      </c>
      <c r="U455" t="s">
        <v>64</v>
      </c>
      <c r="V455" t="s">
        <v>46</v>
      </c>
      <c r="W455" t="s">
        <v>46</v>
      </c>
      <c r="X455" t="s">
        <v>46</v>
      </c>
      <c r="Y455" t="s">
        <v>46</v>
      </c>
      <c r="Z455" t="s">
        <v>46</v>
      </c>
      <c r="AA455" t="s">
        <v>46</v>
      </c>
      <c r="AB455" s="2" t="s">
        <v>2196</v>
      </c>
      <c r="AC455" t="s">
        <v>43</v>
      </c>
      <c r="AD455" t="s">
        <v>43</v>
      </c>
      <c r="AE455" t="s">
        <v>43</v>
      </c>
      <c r="AF455" t="s">
        <v>43</v>
      </c>
      <c r="AG455" t="s">
        <v>43</v>
      </c>
      <c r="AH455" s="2" t="s">
        <v>43</v>
      </c>
    </row>
    <row r="456" spans="1:34" ht="30">
      <c r="A456" s="6" t="s">
        <v>577</v>
      </c>
      <c r="B456" s="7">
        <v>46076</v>
      </c>
      <c r="C456" s="9" t="str">
        <f>HYPERLINK("https://eping.wto.org/en/Search?viewData= G/TBT/N/BDI/717, G/TBT/N/KEN/1986, G/TBT/N/RWA/1355, G/TBT/N/TZA/1501, G/TBT/N/UGA/2316"," G/TBT/N/BDI/717, G/TBT/N/KEN/1986, G/TBT/N/RWA/1355, G/TBT/N/TZA/1501, G/TBT/N/UGA/2316")</f>
        <v xml:space="preserve"> G/TBT/N/BDI/717, G/TBT/N/KEN/1986, G/TBT/N/RWA/1355, G/TBT/N/TZA/1501, G/TBT/N/UGA/2316</v>
      </c>
      <c r="D456" s="8" t="s">
        <v>2119</v>
      </c>
      <c r="E456" s="8" t="s">
        <v>2120</v>
      </c>
      <c r="F456" s="8" t="s">
        <v>2047</v>
      </c>
      <c r="G456" s="8" t="s">
        <v>2048</v>
      </c>
      <c r="H456" s="8" t="s">
        <v>2049</v>
      </c>
      <c r="I456" s="8" t="s">
        <v>1783</v>
      </c>
      <c r="J456" s="8" t="s">
        <v>43</v>
      </c>
      <c r="K456" s="8" t="s">
        <v>43</v>
      </c>
      <c r="L456" s="6"/>
      <c r="M456" s="7">
        <v>46136</v>
      </c>
      <c r="N456" s="7" t="s">
        <v>740</v>
      </c>
      <c r="O456" s="7" t="s">
        <v>79</v>
      </c>
      <c r="P456" s="6" t="s">
        <v>62</v>
      </c>
      <c r="Q456" s="8" t="s">
        <v>2121</v>
      </c>
      <c r="R456" t="str">
        <f>HYPERLINK("https://docs.wto.org/imrd/directdoc.asp?DDFDocuments/t/G/TBTN26/BDI717.docx", "https://docs.wto.org/imrd/directdoc.asp?DDFDocuments/t/G/TBTN26/BDI717.docx")</f>
        <v>https://docs.wto.org/imrd/directdoc.asp?DDFDocuments/t/G/TBTN26/BDI717.docx</v>
      </c>
      <c r="S456" t="str">
        <f>HYPERLINK("https://docs.wto.org/imrd/directdoc.asp?DDFDocuments/u/G/TBTN26/BDI717.docx", "https://docs.wto.org/imrd/directdoc.asp?DDFDocuments/u/G/TBTN26/BDI717.docx")</f>
        <v>https://docs.wto.org/imrd/directdoc.asp?DDFDocuments/u/G/TBTN26/BDI717.docx</v>
      </c>
      <c r="T456" t="str">
        <f>HYPERLINK("https://docs.wto.org/imrd/directdoc.asp?DDFDocuments/v/G/TBTN26/BDI717.docx", "https://docs.wto.org/imrd/directdoc.asp?DDFDocuments/v/G/TBTN26/BDI717.docx")</f>
        <v>https://docs.wto.org/imrd/directdoc.asp?DDFDocuments/v/G/TBTN26/BDI717.docx</v>
      </c>
      <c r="U456" t="s">
        <v>46</v>
      </c>
      <c r="V456" t="s">
        <v>46</v>
      </c>
      <c r="W456" t="s">
        <v>64</v>
      </c>
      <c r="X456" t="s">
        <v>46</v>
      </c>
      <c r="Y456" t="s">
        <v>46</v>
      </c>
      <c r="Z456" t="s">
        <v>46</v>
      </c>
      <c r="AA456" t="s">
        <v>46</v>
      </c>
      <c r="AB456" s="2" t="s">
        <v>43</v>
      </c>
      <c r="AC456" t="s">
        <v>43</v>
      </c>
      <c r="AD456" t="s">
        <v>43</v>
      </c>
      <c r="AE456" t="s">
        <v>43</v>
      </c>
      <c r="AF456" t="s">
        <v>43</v>
      </c>
      <c r="AG456" t="s">
        <v>43</v>
      </c>
      <c r="AH456" s="2" t="s">
        <v>43</v>
      </c>
    </row>
    <row r="457" spans="1:34" ht="30">
      <c r="A457" s="6" t="s">
        <v>509</v>
      </c>
      <c r="B457" s="7">
        <v>46076</v>
      </c>
      <c r="C457" s="9" t="str">
        <f>HYPERLINK("https://eping.wto.org/en/Search?viewData= G/TBT/N/BDI/717, G/TBT/N/KEN/1986, G/TBT/N/RWA/1355, G/TBT/N/TZA/1501, G/TBT/N/UGA/2316"," G/TBT/N/BDI/717, G/TBT/N/KEN/1986, G/TBT/N/RWA/1355, G/TBT/N/TZA/1501, G/TBT/N/UGA/2316")</f>
        <v xml:space="preserve"> G/TBT/N/BDI/717, G/TBT/N/KEN/1986, G/TBT/N/RWA/1355, G/TBT/N/TZA/1501, G/TBT/N/UGA/2316</v>
      </c>
      <c r="D457" s="8" t="s">
        <v>2119</v>
      </c>
      <c r="E457" s="8" t="s">
        <v>2120</v>
      </c>
      <c r="F457" s="8" t="s">
        <v>2047</v>
      </c>
      <c r="G457" s="8" t="s">
        <v>2048</v>
      </c>
      <c r="H457" s="8" t="s">
        <v>2049</v>
      </c>
      <c r="I457" s="8" t="s">
        <v>1783</v>
      </c>
      <c r="J457" s="8" t="s">
        <v>43</v>
      </c>
      <c r="K457" s="8" t="s">
        <v>43</v>
      </c>
      <c r="L457" s="6"/>
      <c r="M457" s="7">
        <v>46136</v>
      </c>
      <c r="N457" s="7" t="s">
        <v>740</v>
      </c>
      <c r="O457" s="7" t="s">
        <v>79</v>
      </c>
      <c r="P457" s="6" t="s">
        <v>62</v>
      </c>
      <c r="Q457" s="8" t="s">
        <v>2121</v>
      </c>
      <c r="R457" t="str">
        <f>HYPERLINK("https://docs.wto.org/imrd/directdoc.asp?DDFDocuments/t/G/TBTN26/BDI717.docx", "https://docs.wto.org/imrd/directdoc.asp?DDFDocuments/t/G/TBTN26/BDI717.docx")</f>
        <v>https://docs.wto.org/imrd/directdoc.asp?DDFDocuments/t/G/TBTN26/BDI717.docx</v>
      </c>
      <c r="S457" t="str">
        <f>HYPERLINK("https://docs.wto.org/imrd/directdoc.asp?DDFDocuments/u/G/TBTN26/BDI717.docx", "https://docs.wto.org/imrd/directdoc.asp?DDFDocuments/u/G/TBTN26/BDI717.docx")</f>
        <v>https://docs.wto.org/imrd/directdoc.asp?DDFDocuments/u/G/TBTN26/BDI717.docx</v>
      </c>
      <c r="T457" t="str">
        <f>HYPERLINK("https://docs.wto.org/imrd/directdoc.asp?DDFDocuments/v/G/TBTN26/BDI717.docx", "https://docs.wto.org/imrd/directdoc.asp?DDFDocuments/v/G/TBTN26/BDI717.docx")</f>
        <v>https://docs.wto.org/imrd/directdoc.asp?DDFDocuments/v/G/TBTN26/BDI717.docx</v>
      </c>
      <c r="U457" t="s">
        <v>46</v>
      </c>
      <c r="V457" t="s">
        <v>46</v>
      </c>
      <c r="W457" t="s">
        <v>64</v>
      </c>
      <c r="X457" t="s">
        <v>46</v>
      </c>
      <c r="Y457" t="s">
        <v>46</v>
      </c>
      <c r="Z457" t="s">
        <v>46</v>
      </c>
      <c r="AA457" t="s">
        <v>46</v>
      </c>
      <c r="AB457" s="2" t="s">
        <v>43</v>
      </c>
      <c r="AC457" t="s">
        <v>43</v>
      </c>
      <c r="AD457" t="s">
        <v>43</v>
      </c>
      <c r="AE457" t="s">
        <v>43</v>
      </c>
      <c r="AF457" t="s">
        <v>43</v>
      </c>
      <c r="AG457" t="s">
        <v>43</v>
      </c>
      <c r="AH457" s="2" t="s">
        <v>43</v>
      </c>
    </row>
    <row r="458" spans="1:34" ht="60">
      <c r="A458" s="6" t="s">
        <v>108</v>
      </c>
      <c r="B458" s="7">
        <v>46076</v>
      </c>
      <c r="C458" s="9" t="str">
        <f>HYPERLINK("https://eping.wto.org/en/Search?viewData= G/TBT/N/BDI/718, G/TBT/N/KEN/1987, G/TBT/N/RWA/1356, G/TBT/N/TZA/1502, G/TBT/N/UGA/2317"," G/TBT/N/BDI/718, G/TBT/N/KEN/1987, G/TBT/N/RWA/1356, G/TBT/N/TZA/1502, G/TBT/N/UGA/2317")</f>
        <v xml:space="preserve"> G/TBT/N/BDI/718, G/TBT/N/KEN/1987, G/TBT/N/RWA/1356, G/TBT/N/TZA/1502, G/TBT/N/UGA/2317</v>
      </c>
      <c r="D458" s="8" t="s">
        <v>2053</v>
      </c>
      <c r="E458" s="8" t="s">
        <v>2054</v>
      </c>
      <c r="F458" s="8" t="s">
        <v>2055</v>
      </c>
      <c r="G458" s="8" t="s">
        <v>2056</v>
      </c>
      <c r="H458" s="8" t="s">
        <v>2057</v>
      </c>
      <c r="I458" s="8" t="s">
        <v>2058</v>
      </c>
      <c r="J458" s="8" t="s">
        <v>43</v>
      </c>
      <c r="K458" s="8" t="s">
        <v>43</v>
      </c>
      <c r="L458" s="6"/>
      <c r="M458" s="7">
        <v>46136</v>
      </c>
      <c r="N458" s="7" t="s">
        <v>740</v>
      </c>
      <c r="O458" s="7" t="s">
        <v>79</v>
      </c>
      <c r="P458" s="6" t="s">
        <v>62</v>
      </c>
      <c r="Q458" s="8" t="s">
        <v>2059</v>
      </c>
      <c r="R458" t="str">
        <f>HYPERLINK("https://docs.wto.org/imrd/directdoc.asp?DDFDocuments/t/G/TBTN26/BDI718.docx", "https://docs.wto.org/imrd/directdoc.asp?DDFDocuments/t/G/TBTN26/BDI718.docx")</f>
        <v>https://docs.wto.org/imrd/directdoc.asp?DDFDocuments/t/G/TBTN26/BDI718.docx</v>
      </c>
      <c r="S458" t="str">
        <f>HYPERLINK("https://docs.wto.org/imrd/directdoc.asp?DDFDocuments/u/G/TBTN26/BDI718.docx", "https://docs.wto.org/imrd/directdoc.asp?DDFDocuments/u/G/TBTN26/BDI718.docx")</f>
        <v>https://docs.wto.org/imrd/directdoc.asp?DDFDocuments/u/G/TBTN26/BDI718.docx</v>
      </c>
      <c r="T458" t="str">
        <f>HYPERLINK("https://docs.wto.org/imrd/directdoc.asp?DDFDocuments/v/G/TBTN26/BDI718.docx", "https://docs.wto.org/imrd/directdoc.asp?DDFDocuments/v/G/TBTN26/BDI718.docx")</f>
        <v>https://docs.wto.org/imrd/directdoc.asp?DDFDocuments/v/G/TBTN26/BDI718.docx</v>
      </c>
      <c r="U458" t="s">
        <v>46</v>
      </c>
      <c r="V458" t="s">
        <v>46</v>
      </c>
      <c r="W458" t="s">
        <v>64</v>
      </c>
      <c r="X458" t="s">
        <v>46</v>
      </c>
      <c r="Y458" t="s">
        <v>46</v>
      </c>
      <c r="Z458" t="s">
        <v>46</v>
      </c>
      <c r="AA458" t="s">
        <v>46</v>
      </c>
      <c r="AB458" s="2" t="s">
        <v>2060</v>
      </c>
      <c r="AC458" t="s">
        <v>43</v>
      </c>
      <c r="AD458" t="s">
        <v>43</v>
      </c>
      <c r="AE458" t="s">
        <v>43</v>
      </c>
      <c r="AF458" t="s">
        <v>43</v>
      </c>
      <c r="AG458" t="s">
        <v>43</v>
      </c>
      <c r="AH458" s="2" t="s">
        <v>43</v>
      </c>
    </row>
    <row r="459" spans="1:34" ht="60">
      <c r="A459" s="6" t="s">
        <v>880</v>
      </c>
      <c r="B459" s="7">
        <v>46076</v>
      </c>
      <c r="C459" s="9" t="str">
        <f>HYPERLINK("https://eping.wto.org/en/Search?viewData= G/SPS/N/ECU/386"," G/SPS/N/ECU/386")</f>
        <v xml:space="preserve"> G/SPS/N/ECU/386</v>
      </c>
      <c r="D459" s="8" t="s">
        <v>2197</v>
      </c>
      <c r="E459" s="8" t="s">
        <v>2198</v>
      </c>
      <c r="F459" s="8" t="s">
        <v>2199</v>
      </c>
      <c r="G459" s="8" t="s">
        <v>43</v>
      </c>
      <c r="H459" s="8" t="s">
        <v>43</v>
      </c>
      <c r="I459" s="8" t="s">
        <v>254</v>
      </c>
      <c r="J459" s="8" t="s">
        <v>43</v>
      </c>
      <c r="K459" s="8" t="s">
        <v>512</v>
      </c>
      <c r="L459" s="6" t="s">
        <v>96</v>
      </c>
      <c r="M459" s="7" t="s">
        <v>43</v>
      </c>
      <c r="N459" s="7">
        <v>45924</v>
      </c>
      <c r="O459" s="7">
        <v>45924</v>
      </c>
      <c r="P459" s="6" t="s">
        <v>62</v>
      </c>
      <c r="Q459" s="8" t="s">
        <v>2200</v>
      </c>
      <c r="R459" t="str">
        <f>HYPERLINK("https://docs.wto.org/imrd/directdoc.asp?DDFDocuments/t/G/SPS/NECU386.docx", "https://docs.wto.org/imrd/directdoc.asp?DDFDocuments/t/G/SPS/NECU386.docx")</f>
        <v>https://docs.wto.org/imrd/directdoc.asp?DDFDocuments/t/G/SPS/NECU386.docx</v>
      </c>
      <c r="S459" t="str">
        <f>HYPERLINK("https://docs.wto.org/imrd/directdoc.asp?DDFDocuments/u/G/SPS/NECU386.docx", "https://docs.wto.org/imrd/directdoc.asp?DDFDocuments/u/G/SPS/NECU386.docx")</f>
        <v>https://docs.wto.org/imrd/directdoc.asp?DDFDocuments/u/G/SPS/NECU386.docx</v>
      </c>
      <c r="T459" t="str">
        <f>HYPERLINK("https://docs.wto.org/imrd/directdoc.asp?DDFDocuments/v/G/SPS/NECU386.docx", "https://docs.wto.org/imrd/directdoc.asp?DDFDocuments/v/G/SPS/NECU386.docx")</f>
        <v>https://docs.wto.org/imrd/directdoc.asp?DDFDocuments/v/G/SPS/NECU386.docx</v>
      </c>
      <c r="U459" t="s">
        <v>43</v>
      </c>
      <c r="V459" t="s">
        <v>43</v>
      </c>
      <c r="W459" t="s">
        <v>43</v>
      </c>
      <c r="X459" t="s">
        <v>43</v>
      </c>
      <c r="Y459" t="s">
        <v>43</v>
      </c>
      <c r="Z459" t="s">
        <v>43</v>
      </c>
      <c r="AA459" t="s">
        <v>43</v>
      </c>
      <c r="AB459" s="2" t="s">
        <v>43</v>
      </c>
      <c r="AC459" t="s">
        <v>46</v>
      </c>
      <c r="AD459" t="s">
        <v>46</v>
      </c>
      <c r="AE459" t="s">
        <v>64</v>
      </c>
      <c r="AF459" t="s">
        <v>46</v>
      </c>
      <c r="AG459" t="s">
        <v>64</v>
      </c>
      <c r="AH459" s="2" t="s">
        <v>2201</v>
      </c>
    </row>
    <row r="460" spans="1:34" ht="45">
      <c r="A460" s="6" t="s">
        <v>880</v>
      </c>
      <c r="B460" s="7">
        <v>46076</v>
      </c>
      <c r="C460" s="9" t="str">
        <f>HYPERLINK("https://eping.wto.org/en/Search?viewData= G/SPS/N/ECU/387"," G/SPS/N/ECU/387")</f>
        <v xml:space="preserve"> G/SPS/N/ECU/387</v>
      </c>
      <c r="D460" s="8" t="s">
        <v>2202</v>
      </c>
      <c r="E460" s="8" t="s">
        <v>2203</v>
      </c>
      <c r="F460" s="8" t="s">
        <v>2204</v>
      </c>
      <c r="G460" s="8" t="s">
        <v>43</v>
      </c>
      <c r="H460" s="8" t="s">
        <v>43</v>
      </c>
      <c r="I460" s="8" t="s">
        <v>254</v>
      </c>
      <c r="J460" s="8" t="s">
        <v>43</v>
      </c>
      <c r="K460" s="8" t="s">
        <v>512</v>
      </c>
      <c r="L460" s="6" t="s">
        <v>1049</v>
      </c>
      <c r="M460" s="7" t="s">
        <v>43</v>
      </c>
      <c r="N460" s="7">
        <v>45924</v>
      </c>
      <c r="O460" s="7">
        <v>45924</v>
      </c>
      <c r="P460" s="6" t="s">
        <v>62</v>
      </c>
      <c r="Q460" s="8" t="s">
        <v>2205</v>
      </c>
      <c r="R460" t="str">
        <f>HYPERLINK("https://docs.wto.org/imrd/directdoc.asp?DDFDocuments/t/G/SPS/NECU387.docx", "https://docs.wto.org/imrd/directdoc.asp?DDFDocuments/t/G/SPS/NECU387.docx")</f>
        <v>https://docs.wto.org/imrd/directdoc.asp?DDFDocuments/t/G/SPS/NECU387.docx</v>
      </c>
      <c r="S460" t="str">
        <f>HYPERLINK("https://docs.wto.org/imrd/directdoc.asp?DDFDocuments/u/G/SPS/NECU387.docx", "https://docs.wto.org/imrd/directdoc.asp?DDFDocuments/u/G/SPS/NECU387.docx")</f>
        <v>https://docs.wto.org/imrd/directdoc.asp?DDFDocuments/u/G/SPS/NECU387.docx</v>
      </c>
      <c r="T460" t="str">
        <f>HYPERLINK("https://docs.wto.org/imrd/directdoc.asp?DDFDocuments/v/G/SPS/NECU387.docx", "https://docs.wto.org/imrd/directdoc.asp?DDFDocuments/v/G/SPS/NECU387.docx")</f>
        <v>https://docs.wto.org/imrd/directdoc.asp?DDFDocuments/v/G/SPS/NECU387.docx</v>
      </c>
      <c r="U460" t="s">
        <v>43</v>
      </c>
      <c r="V460" t="s">
        <v>43</v>
      </c>
      <c r="W460" t="s">
        <v>43</v>
      </c>
      <c r="X460" t="s">
        <v>43</v>
      </c>
      <c r="Y460" t="s">
        <v>43</v>
      </c>
      <c r="Z460" t="s">
        <v>43</v>
      </c>
      <c r="AA460" t="s">
        <v>43</v>
      </c>
      <c r="AB460" s="2" t="s">
        <v>43</v>
      </c>
      <c r="AC460" t="s">
        <v>46</v>
      </c>
      <c r="AD460" t="s">
        <v>46</v>
      </c>
      <c r="AE460" t="s">
        <v>64</v>
      </c>
      <c r="AF460" t="s">
        <v>46</v>
      </c>
      <c r="AG460" t="s">
        <v>64</v>
      </c>
      <c r="AH460" s="2" t="s">
        <v>2206</v>
      </c>
    </row>
    <row r="461" spans="1:34" ht="409.5">
      <c r="A461" s="6" t="s">
        <v>132</v>
      </c>
      <c r="B461" s="7">
        <v>46076</v>
      </c>
      <c r="C461" s="9" t="str">
        <f>HYPERLINK("https://eping.wto.org/en/Search?viewData= G/SPS/N/USA/3203/Add.5"," G/SPS/N/USA/3203/Add.5")</f>
        <v xml:space="preserve"> G/SPS/N/USA/3203/Add.5</v>
      </c>
      <c r="D461" s="8" t="s">
        <v>2207</v>
      </c>
      <c r="E461" s="8" t="s">
        <v>2208</v>
      </c>
      <c r="F461" s="8" t="s">
        <v>2209</v>
      </c>
      <c r="G461" s="8" t="s">
        <v>2210</v>
      </c>
      <c r="H461" s="8" t="s">
        <v>2211</v>
      </c>
      <c r="I461" s="8" t="s">
        <v>58</v>
      </c>
      <c r="J461" s="8" t="s">
        <v>43</v>
      </c>
      <c r="K461" s="8" t="s">
        <v>2212</v>
      </c>
      <c r="L461" s="6"/>
      <c r="M461" s="7" t="s">
        <v>43</v>
      </c>
      <c r="N461" s="7"/>
      <c r="O461" s="7"/>
      <c r="P461" s="6" t="s">
        <v>44</v>
      </c>
      <c r="Q461" s="8" t="s">
        <v>2213</v>
      </c>
      <c r="R461" t="str">
        <f>HYPERLINK("https://docs.wto.org/imrd/directdoc.asp?DDFDocuments/t/G/SPS/NUSA3203A5.docx", "https://docs.wto.org/imrd/directdoc.asp?DDFDocuments/t/G/SPS/NUSA3203A5.docx")</f>
        <v>https://docs.wto.org/imrd/directdoc.asp?DDFDocuments/t/G/SPS/NUSA3203A5.docx</v>
      </c>
      <c r="S461" t="str">
        <f>HYPERLINK("https://docs.wto.org/imrd/directdoc.asp?DDFDocuments/u/G/SPS/NUSA3203A5.docx", "https://docs.wto.org/imrd/directdoc.asp?DDFDocuments/u/G/SPS/NUSA3203A5.docx")</f>
        <v>https://docs.wto.org/imrd/directdoc.asp?DDFDocuments/u/G/SPS/NUSA3203A5.docx</v>
      </c>
      <c r="T461" t="str">
        <f>HYPERLINK("https://docs.wto.org/imrd/directdoc.asp?DDFDocuments/v/G/SPS/NUSA3203A5.docx", "https://docs.wto.org/imrd/directdoc.asp?DDFDocuments/v/G/SPS/NUSA3203A5.docx")</f>
        <v>https://docs.wto.org/imrd/directdoc.asp?DDFDocuments/v/G/SPS/NUSA3203A5.docx</v>
      </c>
      <c r="U461" t="s">
        <v>43</v>
      </c>
      <c r="V461" t="s">
        <v>43</v>
      </c>
      <c r="W461" t="s">
        <v>43</v>
      </c>
      <c r="X461" t="s">
        <v>43</v>
      </c>
      <c r="Y461" t="s">
        <v>43</v>
      </c>
      <c r="Z461" t="s">
        <v>43</v>
      </c>
      <c r="AA461" t="s">
        <v>43</v>
      </c>
      <c r="AB461" s="2" t="s">
        <v>43</v>
      </c>
      <c r="AC461" t="s">
        <v>43</v>
      </c>
      <c r="AD461" t="s">
        <v>43</v>
      </c>
      <c r="AE461" t="s">
        <v>43</v>
      </c>
      <c r="AF461" t="s">
        <v>43</v>
      </c>
      <c r="AG461" t="s">
        <v>43</v>
      </c>
      <c r="AH461" s="2" t="s">
        <v>43</v>
      </c>
    </row>
    <row r="462" spans="1:34" ht="300">
      <c r="A462" s="6" t="s">
        <v>108</v>
      </c>
      <c r="B462" s="7">
        <v>46076</v>
      </c>
      <c r="C462" s="9" t="str">
        <f>HYPERLINK("https://eping.wto.org/en/Search?viewData= G/TBT/N/RWA/1348"," G/TBT/N/RWA/1348")</f>
        <v xml:space="preserve"> G/TBT/N/RWA/1348</v>
      </c>
      <c r="D462" s="8" t="s">
        <v>2214</v>
      </c>
      <c r="E462" s="8" t="s">
        <v>2215</v>
      </c>
      <c r="F462" s="8" t="s">
        <v>2124</v>
      </c>
      <c r="G462" s="8" t="s">
        <v>43</v>
      </c>
      <c r="H462" s="8" t="s">
        <v>2125</v>
      </c>
      <c r="I462" s="8" t="s">
        <v>113</v>
      </c>
      <c r="J462" s="8" t="s">
        <v>43</v>
      </c>
      <c r="K462" s="8" t="s">
        <v>43</v>
      </c>
      <c r="L462" s="6"/>
      <c r="M462" s="7">
        <v>46136</v>
      </c>
      <c r="N462" s="7" t="s">
        <v>79</v>
      </c>
      <c r="O462" s="7" t="s">
        <v>114</v>
      </c>
      <c r="P462" s="6" t="s">
        <v>62</v>
      </c>
      <c r="Q462" s="8" t="s">
        <v>2216</v>
      </c>
      <c r="R462" t="str">
        <f>HYPERLINK("https://docs.wto.org/imrd/directdoc.asp?DDFDocuments/t/G/TBTN26/RWA1348.docx", "https://docs.wto.org/imrd/directdoc.asp?DDFDocuments/t/G/TBTN26/RWA1348.docx")</f>
        <v>https://docs.wto.org/imrd/directdoc.asp?DDFDocuments/t/G/TBTN26/RWA1348.docx</v>
      </c>
      <c r="S462" t="str">
        <f>HYPERLINK("https://docs.wto.org/imrd/directdoc.asp?DDFDocuments/u/G/TBTN26/RWA1348.docx", "https://docs.wto.org/imrd/directdoc.asp?DDFDocuments/u/G/TBTN26/RWA1348.docx")</f>
        <v>https://docs.wto.org/imrd/directdoc.asp?DDFDocuments/u/G/TBTN26/RWA1348.docx</v>
      </c>
      <c r="T462" t="str">
        <f>HYPERLINK("https://docs.wto.org/imrd/directdoc.asp?DDFDocuments/v/G/TBTN26/RWA1348.docx", "https://docs.wto.org/imrd/directdoc.asp?DDFDocuments/v/G/TBTN26/RWA1348.docx")</f>
        <v>https://docs.wto.org/imrd/directdoc.asp?DDFDocuments/v/G/TBTN26/RWA1348.docx</v>
      </c>
      <c r="U462" t="s">
        <v>64</v>
      </c>
      <c r="V462" t="s">
        <v>46</v>
      </c>
      <c r="W462" t="s">
        <v>46</v>
      </c>
      <c r="X462" t="s">
        <v>46</v>
      </c>
      <c r="Y462" t="s">
        <v>46</v>
      </c>
      <c r="Z462" t="s">
        <v>46</v>
      </c>
      <c r="AA462" t="s">
        <v>46</v>
      </c>
      <c r="AB462" s="2" t="s">
        <v>2217</v>
      </c>
      <c r="AC462" t="s">
        <v>43</v>
      </c>
      <c r="AD462" t="s">
        <v>43</v>
      </c>
      <c r="AE462" t="s">
        <v>43</v>
      </c>
      <c r="AF462" t="s">
        <v>43</v>
      </c>
      <c r="AG462" t="s">
        <v>43</v>
      </c>
      <c r="AH462" s="2" t="s">
        <v>43</v>
      </c>
    </row>
    <row r="463" spans="1:34" ht="120">
      <c r="A463" s="6" t="s">
        <v>108</v>
      </c>
      <c r="B463" s="7">
        <v>46076</v>
      </c>
      <c r="C463" s="9" t="str">
        <f>HYPERLINK("https://eping.wto.org/en/Search?viewData= G/TBT/N/RWA/1358"," G/TBT/N/RWA/1358")</f>
        <v xml:space="preserve"> G/TBT/N/RWA/1358</v>
      </c>
      <c r="D463" s="8" t="s">
        <v>2218</v>
      </c>
      <c r="E463" s="8" t="s">
        <v>2219</v>
      </c>
      <c r="F463" s="8" t="s">
        <v>2106</v>
      </c>
      <c r="G463" s="8" t="s">
        <v>43</v>
      </c>
      <c r="H463" s="8" t="s">
        <v>2107</v>
      </c>
      <c r="I463" s="8" t="s">
        <v>113</v>
      </c>
      <c r="J463" s="8" t="s">
        <v>43</v>
      </c>
      <c r="K463" s="8" t="s">
        <v>43</v>
      </c>
      <c r="L463" s="6"/>
      <c r="M463" s="7">
        <v>46136</v>
      </c>
      <c r="N463" s="7" t="s">
        <v>79</v>
      </c>
      <c r="O463" s="7" t="s">
        <v>114</v>
      </c>
      <c r="P463" s="6" t="s">
        <v>62</v>
      </c>
      <c r="Q463" s="8" t="s">
        <v>2220</v>
      </c>
      <c r="R463" t="str">
        <f>HYPERLINK("https://docs.wto.org/imrd/directdoc.asp?DDFDocuments/t/G/TBTN26/RWA1358.docx", "https://docs.wto.org/imrd/directdoc.asp?DDFDocuments/t/G/TBTN26/RWA1358.docx")</f>
        <v>https://docs.wto.org/imrd/directdoc.asp?DDFDocuments/t/G/TBTN26/RWA1358.docx</v>
      </c>
      <c r="S463" t="str">
        <f>HYPERLINK("https://docs.wto.org/imrd/directdoc.asp?DDFDocuments/u/G/TBTN26/RWA1358.docx", "https://docs.wto.org/imrd/directdoc.asp?DDFDocuments/u/G/TBTN26/RWA1358.docx")</f>
        <v>https://docs.wto.org/imrd/directdoc.asp?DDFDocuments/u/G/TBTN26/RWA1358.docx</v>
      </c>
      <c r="T463" t="str">
        <f>HYPERLINK("https://docs.wto.org/imrd/directdoc.asp?DDFDocuments/v/G/TBTN26/RWA1358.docx", "https://docs.wto.org/imrd/directdoc.asp?DDFDocuments/v/G/TBTN26/RWA1358.docx")</f>
        <v>https://docs.wto.org/imrd/directdoc.asp?DDFDocuments/v/G/TBTN26/RWA1358.docx</v>
      </c>
      <c r="U463" t="s">
        <v>64</v>
      </c>
      <c r="V463" t="s">
        <v>46</v>
      </c>
      <c r="W463" t="s">
        <v>46</v>
      </c>
      <c r="X463" t="s">
        <v>46</v>
      </c>
      <c r="Y463" t="s">
        <v>46</v>
      </c>
      <c r="Z463" t="s">
        <v>46</v>
      </c>
      <c r="AA463" t="s">
        <v>46</v>
      </c>
      <c r="AB463" s="2" t="s">
        <v>2221</v>
      </c>
      <c r="AC463" t="s">
        <v>43</v>
      </c>
      <c r="AD463" t="s">
        <v>43</v>
      </c>
      <c r="AE463" t="s">
        <v>43</v>
      </c>
      <c r="AF463" t="s">
        <v>43</v>
      </c>
      <c r="AG463" t="s">
        <v>43</v>
      </c>
      <c r="AH463" s="2" t="s">
        <v>43</v>
      </c>
    </row>
    <row r="464" spans="1:34" ht="30">
      <c r="A464" s="6" t="s">
        <v>108</v>
      </c>
      <c r="B464" s="7">
        <v>46076</v>
      </c>
      <c r="C464" s="9" t="str">
        <f>HYPERLINK("https://eping.wto.org/en/Search?viewData= G/TBT/N/BDI/717, G/TBT/N/KEN/1986, G/TBT/N/RWA/1355, G/TBT/N/TZA/1501, G/TBT/N/UGA/2316"," G/TBT/N/BDI/717, G/TBT/N/KEN/1986, G/TBT/N/RWA/1355, G/TBT/N/TZA/1501, G/TBT/N/UGA/2316")</f>
        <v xml:space="preserve"> G/TBT/N/BDI/717, G/TBT/N/KEN/1986, G/TBT/N/RWA/1355, G/TBT/N/TZA/1501, G/TBT/N/UGA/2316</v>
      </c>
      <c r="D464" s="8" t="s">
        <v>2119</v>
      </c>
      <c r="E464" s="8" t="s">
        <v>2120</v>
      </c>
      <c r="F464" s="8" t="s">
        <v>2047</v>
      </c>
      <c r="G464" s="8" t="s">
        <v>2048</v>
      </c>
      <c r="H464" s="8" t="s">
        <v>2049</v>
      </c>
      <c r="I464" s="8" t="s">
        <v>1783</v>
      </c>
      <c r="J464" s="8" t="s">
        <v>43</v>
      </c>
      <c r="K464" s="8" t="s">
        <v>43</v>
      </c>
      <c r="L464" s="6"/>
      <c r="M464" s="7">
        <v>46136</v>
      </c>
      <c r="N464" s="7" t="s">
        <v>740</v>
      </c>
      <c r="O464" s="7" t="s">
        <v>79</v>
      </c>
      <c r="P464" s="6" t="s">
        <v>62</v>
      </c>
      <c r="Q464" s="8" t="s">
        <v>2121</v>
      </c>
      <c r="R464" t="str">
        <f>HYPERLINK("https://docs.wto.org/imrd/directdoc.asp?DDFDocuments/t/G/TBTN26/BDI717.docx", "https://docs.wto.org/imrd/directdoc.asp?DDFDocuments/t/G/TBTN26/BDI717.docx")</f>
        <v>https://docs.wto.org/imrd/directdoc.asp?DDFDocuments/t/G/TBTN26/BDI717.docx</v>
      </c>
      <c r="S464" t="str">
        <f>HYPERLINK("https://docs.wto.org/imrd/directdoc.asp?DDFDocuments/u/G/TBTN26/BDI717.docx", "https://docs.wto.org/imrd/directdoc.asp?DDFDocuments/u/G/TBTN26/BDI717.docx")</f>
        <v>https://docs.wto.org/imrd/directdoc.asp?DDFDocuments/u/G/TBTN26/BDI717.docx</v>
      </c>
      <c r="T464" t="str">
        <f>HYPERLINK("https://docs.wto.org/imrd/directdoc.asp?DDFDocuments/v/G/TBTN26/BDI717.docx", "https://docs.wto.org/imrd/directdoc.asp?DDFDocuments/v/G/TBTN26/BDI717.docx")</f>
        <v>https://docs.wto.org/imrd/directdoc.asp?DDFDocuments/v/G/TBTN26/BDI717.docx</v>
      </c>
      <c r="U464" t="s">
        <v>46</v>
      </c>
      <c r="V464" t="s">
        <v>46</v>
      </c>
      <c r="W464" t="s">
        <v>64</v>
      </c>
      <c r="X464" t="s">
        <v>46</v>
      </c>
      <c r="Y464" t="s">
        <v>46</v>
      </c>
      <c r="Z464" t="s">
        <v>46</v>
      </c>
      <c r="AA464" t="s">
        <v>46</v>
      </c>
      <c r="AB464" s="2" t="s">
        <v>43</v>
      </c>
      <c r="AC464" t="s">
        <v>43</v>
      </c>
      <c r="AD464" t="s">
        <v>43</v>
      </c>
      <c r="AE464" t="s">
        <v>43</v>
      </c>
      <c r="AF464" t="s">
        <v>43</v>
      </c>
      <c r="AG464" t="s">
        <v>43</v>
      </c>
      <c r="AH464" s="2" t="s">
        <v>43</v>
      </c>
    </row>
    <row r="465" spans="1:34" ht="60">
      <c r="A465" s="6" t="s">
        <v>124</v>
      </c>
      <c r="B465" s="7">
        <v>46076</v>
      </c>
      <c r="C465" s="9" t="str">
        <f>HYPERLINK("https://eping.wto.org/en/Search?viewData= G/TBT/N/BDI/718, G/TBT/N/KEN/1987, G/TBT/N/RWA/1356, G/TBT/N/TZA/1502, G/TBT/N/UGA/2317"," G/TBT/N/BDI/718, G/TBT/N/KEN/1987, G/TBT/N/RWA/1356, G/TBT/N/TZA/1502, G/TBT/N/UGA/2317")</f>
        <v xml:space="preserve"> G/TBT/N/BDI/718, G/TBT/N/KEN/1987, G/TBT/N/RWA/1356, G/TBT/N/TZA/1502, G/TBT/N/UGA/2317</v>
      </c>
      <c r="D465" s="8" t="s">
        <v>2053</v>
      </c>
      <c r="E465" s="8" t="s">
        <v>2054</v>
      </c>
      <c r="F465" s="8" t="s">
        <v>2055</v>
      </c>
      <c r="G465" s="8" t="s">
        <v>2056</v>
      </c>
      <c r="H465" s="8" t="s">
        <v>2057</v>
      </c>
      <c r="I465" s="8" t="s">
        <v>2058</v>
      </c>
      <c r="J465" s="8" t="s">
        <v>43</v>
      </c>
      <c r="K465" s="8" t="s">
        <v>43</v>
      </c>
      <c r="L465" s="6"/>
      <c r="M465" s="7">
        <v>46136</v>
      </c>
      <c r="N465" s="7" t="s">
        <v>740</v>
      </c>
      <c r="O465" s="7" t="s">
        <v>79</v>
      </c>
      <c r="P465" s="6" t="s">
        <v>62</v>
      </c>
      <c r="Q465" s="8" t="s">
        <v>2059</v>
      </c>
      <c r="R465" t="str">
        <f>HYPERLINK("https://docs.wto.org/imrd/directdoc.asp?DDFDocuments/t/G/TBTN26/BDI718.docx", "https://docs.wto.org/imrd/directdoc.asp?DDFDocuments/t/G/TBTN26/BDI718.docx")</f>
        <v>https://docs.wto.org/imrd/directdoc.asp?DDFDocuments/t/G/TBTN26/BDI718.docx</v>
      </c>
      <c r="S465" t="str">
        <f>HYPERLINK("https://docs.wto.org/imrd/directdoc.asp?DDFDocuments/u/G/TBTN26/BDI718.docx", "https://docs.wto.org/imrd/directdoc.asp?DDFDocuments/u/G/TBTN26/BDI718.docx")</f>
        <v>https://docs.wto.org/imrd/directdoc.asp?DDFDocuments/u/G/TBTN26/BDI718.docx</v>
      </c>
      <c r="T465" t="str">
        <f>HYPERLINK("https://docs.wto.org/imrd/directdoc.asp?DDFDocuments/v/G/TBTN26/BDI718.docx", "https://docs.wto.org/imrd/directdoc.asp?DDFDocuments/v/G/TBTN26/BDI718.docx")</f>
        <v>https://docs.wto.org/imrd/directdoc.asp?DDFDocuments/v/G/TBTN26/BDI718.docx</v>
      </c>
      <c r="U465" t="s">
        <v>46</v>
      </c>
      <c r="V465" t="s">
        <v>46</v>
      </c>
      <c r="W465" t="s">
        <v>64</v>
      </c>
      <c r="X465" t="s">
        <v>46</v>
      </c>
      <c r="Y465" t="s">
        <v>46</v>
      </c>
      <c r="Z465" t="s">
        <v>46</v>
      </c>
      <c r="AA465" t="s">
        <v>46</v>
      </c>
      <c r="AB465" s="2" t="s">
        <v>2060</v>
      </c>
      <c r="AC465" t="s">
        <v>43</v>
      </c>
      <c r="AD465" t="s">
        <v>43</v>
      </c>
      <c r="AE465" t="s">
        <v>43</v>
      </c>
      <c r="AF465" t="s">
        <v>43</v>
      </c>
      <c r="AG465" t="s">
        <v>43</v>
      </c>
      <c r="AH465" s="2" t="s">
        <v>43</v>
      </c>
    </row>
    <row r="466" spans="1:34" ht="195">
      <c r="A466" s="6" t="s">
        <v>132</v>
      </c>
      <c r="B466" s="7">
        <v>46076</v>
      </c>
      <c r="C466" s="9" t="str">
        <f>HYPERLINK("https://eping.wto.org/en/Search?viewData= G/SPS/N/USA/3553"," G/SPS/N/USA/3553")</f>
        <v xml:space="preserve"> G/SPS/N/USA/3553</v>
      </c>
      <c r="D466" s="8" t="s">
        <v>2222</v>
      </c>
      <c r="E466" s="8" t="s">
        <v>2223</v>
      </c>
      <c r="F466" s="8" t="s">
        <v>1471</v>
      </c>
      <c r="G466" s="8" t="s">
        <v>43</v>
      </c>
      <c r="H466" s="8" t="s">
        <v>43</v>
      </c>
      <c r="I466" s="8" t="s">
        <v>58</v>
      </c>
      <c r="J466" s="8" t="s">
        <v>43</v>
      </c>
      <c r="K466" s="8" t="s">
        <v>310</v>
      </c>
      <c r="L466" s="6"/>
      <c r="M466" s="7">
        <v>46133</v>
      </c>
      <c r="N466" s="7">
        <v>46073</v>
      </c>
      <c r="O466" s="7">
        <v>46073</v>
      </c>
      <c r="P466" s="6" t="s">
        <v>62</v>
      </c>
      <c r="Q466" s="8" t="s">
        <v>2224</v>
      </c>
      <c r="R466" t="str">
        <f>HYPERLINK("https://docs.wto.org/imrd/directdoc.asp?DDFDocuments/t/G/SPS/NUSA3553.docx", "https://docs.wto.org/imrd/directdoc.asp?DDFDocuments/t/G/SPS/NUSA3553.docx")</f>
        <v>https://docs.wto.org/imrd/directdoc.asp?DDFDocuments/t/G/SPS/NUSA3553.docx</v>
      </c>
      <c r="S466" t="str">
        <f>HYPERLINK("https://docs.wto.org/imrd/directdoc.asp?DDFDocuments/u/G/SPS/NUSA3553.docx", "https://docs.wto.org/imrd/directdoc.asp?DDFDocuments/u/G/SPS/NUSA3553.docx")</f>
        <v>https://docs.wto.org/imrd/directdoc.asp?DDFDocuments/u/G/SPS/NUSA3553.docx</v>
      </c>
      <c r="T466" t="str">
        <f>HYPERLINK("https://docs.wto.org/imrd/directdoc.asp?DDFDocuments/v/G/SPS/NUSA3553.docx", "https://docs.wto.org/imrd/directdoc.asp?DDFDocuments/v/G/SPS/NUSA3553.docx")</f>
        <v>https://docs.wto.org/imrd/directdoc.asp?DDFDocuments/v/G/SPS/NUSA3553.docx</v>
      </c>
      <c r="U466" t="s">
        <v>43</v>
      </c>
      <c r="V466" t="s">
        <v>43</v>
      </c>
      <c r="W466" t="s">
        <v>43</v>
      </c>
      <c r="X466" t="s">
        <v>43</v>
      </c>
      <c r="Y466" t="s">
        <v>43</v>
      </c>
      <c r="Z466" t="s">
        <v>43</v>
      </c>
      <c r="AA466" t="s">
        <v>43</v>
      </c>
      <c r="AB466" s="2" t="s">
        <v>43</v>
      </c>
      <c r="AC466" t="s">
        <v>46</v>
      </c>
      <c r="AD466" t="s">
        <v>46</v>
      </c>
      <c r="AE466" t="s">
        <v>46</v>
      </c>
      <c r="AF466" t="s">
        <v>64</v>
      </c>
      <c r="AG466" t="s">
        <v>99</v>
      </c>
      <c r="AH466" s="2" t="s">
        <v>2225</v>
      </c>
    </row>
    <row r="467" spans="1:34" ht="135">
      <c r="A467" s="6" t="s">
        <v>108</v>
      </c>
      <c r="B467" s="7">
        <v>46076</v>
      </c>
      <c r="C467" s="9" t="str">
        <f>HYPERLINK("https://eping.wto.org/en/Search?viewData= G/TBT/N/RWA/1344"," G/TBT/N/RWA/1344")</f>
        <v xml:space="preserve"> G/TBT/N/RWA/1344</v>
      </c>
      <c r="D467" s="8" t="s">
        <v>2226</v>
      </c>
      <c r="E467" s="8" t="s">
        <v>2227</v>
      </c>
      <c r="F467" s="8" t="s">
        <v>2228</v>
      </c>
      <c r="G467" s="8" t="s">
        <v>43</v>
      </c>
      <c r="H467" s="8" t="s">
        <v>1129</v>
      </c>
      <c r="I467" s="8" t="s">
        <v>113</v>
      </c>
      <c r="J467" s="8" t="s">
        <v>43</v>
      </c>
      <c r="K467" s="8" t="s">
        <v>43</v>
      </c>
      <c r="L467" s="6"/>
      <c r="M467" s="7">
        <v>46136</v>
      </c>
      <c r="N467" s="7" t="s">
        <v>79</v>
      </c>
      <c r="O467" s="7" t="s">
        <v>114</v>
      </c>
      <c r="P467" s="6" t="s">
        <v>62</v>
      </c>
      <c r="Q467" s="8" t="s">
        <v>2229</v>
      </c>
      <c r="R467" t="str">
        <f>HYPERLINK("https://docs.wto.org/imrd/directdoc.asp?DDFDocuments/t/G/TBTN26/RWA1344.docx", "https://docs.wto.org/imrd/directdoc.asp?DDFDocuments/t/G/TBTN26/RWA1344.docx")</f>
        <v>https://docs.wto.org/imrd/directdoc.asp?DDFDocuments/t/G/TBTN26/RWA1344.docx</v>
      </c>
      <c r="S467" t="str">
        <f>HYPERLINK("https://docs.wto.org/imrd/directdoc.asp?DDFDocuments/u/G/TBTN26/RWA1344.docx", "https://docs.wto.org/imrd/directdoc.asp?DDFDocuments/u/G/TBTN26/RWA1344.docx")</f>
        <v>https://docs.wto.org/imrd/directdoc.asp?DDFDocuments/u/G/TBTN26/RWA1344.docx</v>
      </c>
      <c r="T467" t="str">
        <f>HYPERLINK("https://docs.wto.org/imrd/directdoc.asp?DDFDocuments/v/G/TBTN26/RWA1344.docx", "https://docs.wto.org/imrd/directdoc.asp?DDFDocuments/v/G/TBTN26/RWA1344.docx")</f>
        <v>https://docs.wto.org/imrd/directdoc.asp?DDFDocuments/v/G/TBTN26/RWA1344.docx</v>
      </c>
      <c r="U467" t="s">
        <v>64</v>
      </c>
      <c r="V467" t="s">
        <v>46</v>
      </c>
      <c r="W467" t="s">
        <v>46</v>
      </c>
      <c r="X467" t="s">
        <v>46</v>
      </c>
      <c r="Y467" t="s">
        <v>46</v>
      </c>
      <c r="Z467" t="s">
        <v>46</v>
      </c>
      <c r="AA467" t="s">
        <v>46</v>
      </c>
      <c r="AB467" s="2" t="s">
        <v>2230</v>
      </c>
      <c r="AC467" t="s">
        <v>43</v>
      </c>
      <c r="AD467" t="s">
        <v>43</v>
      </c>
      <c r="AE467" t="s">
        <v>43</v>
      </c>
      <c r="AF467" t="s">
        <v>43</v>
      </c>
      <c r="AG467" t="s">
        <v>43</v>
      </c>
      <c r="AH467" s="2" t="s">
        <v>43</v>
      </c>
    </row>
    <row r="468" spans="1:34" ht="150">
      <c r="A468" s="6" t="s">
        <v>108</v>
      </c>
      <c r="B468" s="7">
        <v>46076</v>
      </c>
      <c r="C468" s="9" t="str">
        <f>HYPERLINK("https://eping.wto.org/en/Search?viewData= G/TBT/N/RWA/1359"," G/TBT/N/RWA/1359")</f>
        <v xml:space="preserve"> G/TBT/N/RWA/1359</v>
      </c>
      <c r="D468" s="8" t="s">
        <v>2231</v>
      </c>
      <c r="E468" s="8" t="s">
        <v>2232</v>
      </c>
      <c r="F468" s="8" t="s">
        <v>2124</v>
      </c>
      <c r="G468" s="8" t="s">
        <v>43</v>
      </c>
      <c r="H468" s="8" t="s">
        <v>2125</v>
      </c>
      <c r="I468" s="8" t="s">
        <v>113</v>
      </c>
      <c r="J468" s="8" t="s">
        <v>43</v>
      </c>
      <c r="K468" s="8" t="s">
        <v>43</v>
      </c>
      <c r="L468" s="6"/>
      <c r="M468" s="7">
        <v>46136</v>
      </c>
      <c r="N468" s="7" t="s">
        <v>79</v>
      </c>
      <c r="O468" s="7" t="s">
        <v>114</v>
      </c>
      <c r="P468" s="6" t="s">
        <v>62</v>
      </c>
      <c r="Q468" s="8" t="s">
        <v>2233</v>
      </c>
      <c r="R468" t="str">
        <f>HYPERLINK("https://docs.wto.org/imrd/directdoc.asp?DDFDocuments/t/G/TBTN26/RWA1359.docx", "https://docs.wto.org/imrd/directdoc.asp?DDFDocuments/t/G/TBTN26/RWA1359.docx")</f>
        <v>https://docs.wto.org/imrd/directdoc.asp?DDFDocuments/t/G/TBTN26/RWA1359.docx</v>
      </c>
      <c r="S468" t="str">
        <f>HYPERLINK("https://docs.wto.org/imrd/directdoc.asp?DDFDocuments/u/G/TBTN26/RWA1359.docx", "https://docs.wto.org/imrd/directdoc.asp?DDFDocuments/u/G/TBTN26/RWA1359.docx")</f>
        <v>https://docs.wto.org/imrd/directdoc.asp?DDFDocuments/u/G/TBTN26/RWA1359.docx</v>
      </c>
      <c r="T468" t="str">
        <f>HYPERLINK("https://docs.wto.org/imrd/directdoc.asp?DDFDocuments/v/G/TBTN26/RWA1359.docx", "https://docs.wto.org/imrd/directdoc.asp?DDFDocuments/v/G/TBTN26/RWA1359.docx")</f>
        <v>https://docs.wto.org/imrd/directdoc.asp?DDFDocuments/v/G/TBTN26/RWA1359.docx</v>
      </c>
      <c r="U468" t="s">
        <v>64</v>
      </c>
      <c r="V468" t="s">
        <v>46</v>
      </c>
      <c r="W468" t="s">
        <v>46</v>
      </c>
      <c r="X468" t="s">
        <v>46</v>
      </c>
      <c r="Y468" t="s">
        <v>46</v>
      </c>
      <c r="Z468" t="s">
        <v>46</v>
      </c>
      <c r="AA468" t="s">
        <v>46</v>
      </c>
      <c r="AB468" s="2" t="s">
        <v>2234</v>
      </c>
      <c r="AC468" t="s">
        <v>43</v>
      </c>
      <c r="AD468" t="s">
        <v>43</v>
      </c>
      <c r="AE468" t="s">
        <v>43</v>
      </c>
      <c r="AF468" t="s">
        <v>43</v>
      </c>
      <c r="AG468" t="s">
        <v>43</v>
      </c>
      <c r="AH468" s="2" t="s">
        <v>43</v>
      </c>
    </row>
    <row r="469" spans="1:34" ht="30">
      <c r="A469" s="6" t="s">
        <v>124</v>
      </c>
      <c r="B469" s="7">
        <v>46076</v>
      </c>
      <c r="C469" s="9" t="str">
        <f>HYPERLINK("https://eping.wto.org/en/Search?viewData= G/TBT/N/BDI/717, G/TBT/N/KEN/1986, G/TBT/N/RWA/1355, G/TBT/N/TZA/1501, G/TBT/N/UGA/2316"," G/TBT/N/BDI/717, G/TBT/N/KEN/1986, G/TBT/N/RWA/1355, G/TBT/N/TZA/1501, G/TBT/N/UGA/2316")</f>
        <v xml:space="preserve"> G/TBT/N/BDI/717, G/TBT/N/KEN/1986, G/TBT/N/RWA/1355, G/TBT/N/TZA/1501, G/TBT/N/UGA/2316</v>
      </c>
      <c r="D469" s="8" t="s">
        <v>2119</v>
      </c>
      <c r="E469" s="8" t="s">
        <v>2120</v>
      </c>
      <c r="F469" s="8" t="s">
        <v>2047</v>
      </c>
      <c r="G469" s="8" t="s">
        <v>2048</v>
      </c>
      <c r="H469" s="8" t="s">
        <v>2049</v>
      </c>
      <c r="I469" s="8" t="s">
        <v>1783</v>
      </c>
      <c r="J469" s="8" t="s">
        <v>43</v>
      </c>
      <c r="K469" s="8" t="s">
        <v>43</v>
      </c>
      <c r="L469" s="6"/>
      <c r="M469" s="7">
        <v>46136</v>
      </c>
      <c r="N469" s="7" t="s">
        <v>740</v>
      </c>
      <c r="O469" s="7" t="s">
        <v>79</v>
      </c>
      <c r="P469" s="6" t="s">
        <v>62</v>
      </c>
      <c r="Q469" s="8" t="s">
        <v>2121</v>
      </c>
      <c r="R469" t="str">
        <f>HYPERLINK("https://docs.wto.org/imrd/directdoc.asp?DDFDocuments/t/G/TBTN26/BDI717.docx", "https://docs.wto.org/imrd/directdoc.asp?DDFDocuments/t/G/TBTN26/BDI717.docx")</f>
        <v>https://docs.wto.org/imrd/directdoc.asp?DDFDocuments/t/G/TBTN26/BDI717.docx</v>
      </c>
      <c r="S469" t="str">
        <f>HYPERLINK("https://docs.wto.org/imrd/directdoc.asp?DDFDocuments/u/G/TBTN26/BDI717.docx", "https://docs.wto.org/imrd/directdoc.asp?DDFDocuments/u/G/TBTN26/BDI717.docx")</f>
        <v>https://docs.wto.org/imrd/directdoc.asp?DDFDocuments/u/G/TBTN26/BDI717.docx</v>
      </c>
      <c r="T469" t="str">
        <f>HYPERLINK("https://docs.wto.org/imrd/directdoc.asp?DDFDocuments/v/G/TBTN26/BDI717.docx", "https://docs.wto.org/imrd/directdoc.asp?DDFDocuments/v/G/TBTN26/BDI717.docx")</f>
        <v>https://docs.wto.org/imrd/directdoc.asp?DDFDocuments/v/G/TBTN26/BDI717.docx</v>
      </c>
      <c r="U469" t="s">
        <v>46</v>
      </c>
      <c r="V469" t="s">
        <v>46</v>
      </c>
      <c r="W469" t="s">
        <v>64</v>
      </c>
      <c r="X469" t="s">
        <v>46</v>
      </c>
      <c r="Y469" t="s">
        <v>46</v>
      </c>
      <c r="Z469" t="s">
        <v>46</v>
      </c>
      <c r="AA469" t="s">
        <v>46</v>
      </c>
      <c r="AB469" s="2" t="s">
        <v>43</v>
      </c>
      <c r="AC469" t="s">
        <v>43</v>
      </c>
      <c r="AD469" t="s">
        <v>43</v>
      </c>
      <c r="AE469" t="s">
        <v>43</v>
      </c>
      <c r="AF469" t="s">
        <v>43</v>
      </c>
      <c r="AG469" t="s">
        <v>43</v>
      </c>
      <c r="AH469" s="2" t="s">
        <v>43</v>
      </c>
    </row>
    <row r="470" spans="1:34" ht="390">
      <c r="A470" s="6" t="s">
        <v>96</v>
      </c>
      <c r="B470" s="7">
        <v>46076</v>
      </c>
      <c r="C470" s="9" t="str">
        <f>HYPERLINK("https://eping.wto.org/en/Search?viewData= G/TBT/N/ISR/1408/Rev.1"," G/TBT/N/ISR/1408/Rev.1")</f>
        <v xml:space="preserve"> G/TBT/N/ISR/1408/Rev.1</v>
      </c>
      <c r="D470" s="8" t="s">
        <v>2235</v>
      </c>
      <c r="E470" s="8" t="s">
        <v>2236</v>
      </c>
      <c r="F470" s="8" t="s">
        <v>2237</v>
      </c>
      <c r="G470" s="8" t="s">
        <v>43</v>
      </c>
      <c r="H470" s="8" t="s">
        <v>2238</v>
      </c>
      <c r="I470" s="8" t="s">
        <v>2239</v>
      </c>
      <c r="J470" s="8" t="s">
        <v>43</v>
      </c>
      <c r="K470" s="8" t="s">
        <v>43</v>
      </c>
      <c r="L470" s="6"/>
      <c r="M470" s="7">
        <v>46136</v>
      </c>
      <c r="N470" s="7" t="s">
        <v>79</v>
      </c>
      <c r="O470" s="7" t="s">
        <v>2240</v>
      </c>
      <c r="P470" s="6" t="s">
        <v>138</v>
      </c>
      <c r="Q470" s="8" t="s">
        <v>2241</v>
      </c>
      <c r="R470" t="str">
        <f>HYPERLINK("https://docs.wto.org/imrd/directdoc.asp?DDFDocuments/t/G/TBTN25/ISR1408R1.docx", "https://docs.wto.org/imrd/directdoc.asp?DDFDocuments/t/G/TBTN25/ISR1408R1.docx")</f>
        <v>https://docs.wto.org/imrd/directdoc.asp?DDFDocuments/t/G/TBTN25/ISR1408R1.docx</v>
      </c>
      <c r="S470" t="str">
        <f>HYPERLINK("https://docs.wto.org/imrd/directdoc.asp?DDFDocuments/u/G/TBTN25/ISR1408R1.docx", "https://docs.wto.org/imrd/directdoc.asp?DDFDocuments/u/G/TBTN25/ISR1408R1.docx")</f>
        <v>https://docs.wto.org/imrd/directdoc.asp?DDFDocuments/u/G/TBTN25/ISR1408R1.docx</v>
      </c>
      <c r="T470" t="str">
        <f>HYPERLINK("https://docs.wto.org/imrd/directdoc.asp?DDFDocuments/v/G/TBTN25/ISR1408R1.docx", "https://docs.wto.org/imrd/directdoc.asp?DDFDocuments/v/G/TBTN25/ISR1408R1.docx")</f>
        <v>https://docs.wto.org/imrd/directdoc.asp?DDFDocuments/v/G/TBTN25/ISR1408R1.docx</v>
      </c>
      <c r="U470" t="s">
        <v>46</v>
      </c>
      <c r="V470" t="s">
        <v>46</v>
      </c>
      <c r="W470" t="s">
        <v>64</v>
      </c>
      <c r="X470" t="s">
        <v>46</v>
      </c>
      <c r="Y470" t="s">
        <v>46</v>
      </c>
      <c r="Z470" t="s">
        <v>46</v>
      </c>
      <c r="AA470" t="s">
        <v>46</v>
      </c>
      <c r="AB470" s="2" t="s">
        <v>2242</v>
      </c>
      <c r="AC470" t="s">
        <v>43</v>
      </c>
      <c r="AD470" t="s">
        <v>43</v>
      </c>
      <c r="AE470" t="s">
        <v>43</v>
      </c>
      <c r="AF470" t="s">
        <v>43</v>
      </c>
      <c r="AG470" t="s">
        <v>43</v>
      </c>
      <c r="AH470" s="2" t="s">
        <v>43</v>
      </c>
    </row>
    <row r="471" spans="1:34" ht="300">
      <c r="A471" s="6" t="s">
        <v>132</v>
      </c>
      <c r="B471" s="7">
        <v>46076</v>
      </c>
      <c r="C471" s="9" t="str">
        <f>HYPERLINK("https://eping.wto.org/en/Search?viewData= G/TBT/N/USA/1727/Rev.3"," G/TBT/N/USA/1727/Rev.3")</f>
        <v xml:space="preserve"> G/TBT/N/USA/1727/Rev.3</v>
      </c>
      <c r="D471" s="8" t="s">
        <v>2243</v>
      </c>
      <c r="E471" s="8" t="s">
        <v>2244</v>
      </c>
      <c r="F471" s="8" t="s">
        <v>1788</v>
      </c>
      <c r="G471" s="8" t="s">
        <v>43</v>
      </c>
      <c r="H471" s="8" t="s">
        <v>2245</v>
      </c>
      <c r="I471" s="8" t="s">
        <v>1790</v>
      </c>
      <c r="J471" s="8" t="s">
        <v>43</v>
      </c>
      <c r="K471" s="8" t="s">
        <v>43</v>
      </c>
      <c r="L471" s="6"/>
      <c r="M471" s="7">
        <v>46133</v>
      </c>
      <c r="N471" s="7" t="s">
        <v>79</v>
      </c>
      <c r="O471" s="7" t="s">
        <v>79</v>
      </c>
      <c r="P471" s="6" t="s">
        <v>138</v>
      </c>
      <c r="Q471" s="8" t="s">
        <v>2246</v>
      </c>
      <c r="R471" t="str">
        <f>HYPERLINK("https://docs.wto.org/imrd/directdoc.asp?DDFDocuments/t/G/TBTN21/USA1727R3.docx", "https://docs.wto.org/imrd/directdoc.asp?DDFDocuments/t/G/TBTN21/USA1727R3.docx")</f>
        <v>https://docs.wto.org/imrd/directdoc.asp?DDFDocuments/t/G/TBTN21/USA1727R3.docx</v>
      </c>
      <c r="S471" t="str">
        <f>HYPERLINK("https://docs.wto.org/imrd/directdoc.asp?DDFDocuments/u/G/TBTN21/USA1727R3.docx", "https://docs.wto.org/imrd/directdoc.asp?DDFDocuments/u/G/TBTN21/USA1727R3.docx")</f>
        <v>https://docs.wto.org/imrd/directdoc.asp?DDFDocuments/u/G/TBTN21/USA1727R3.docx</v>
      </c>
      <c r="T471" t="str">
        <f>HYPERLINK("https://docs.wto.org/imrd/directdoc.asp?DDFDocuments/v/G/TBTN21/USA1727R3.docx", "https://docs.wto.org/imrd/directdoc.asp?DDFDocuments/v/G/TBTN21/USA1727R3.docx")</f>
        <v>https://docs.wto.org/imrd/directdoc.asp?DDFDocuments/v/G/TBTN21/USA1727R3.docx</v>
      </c>
      <c r="U471" t="s">
        <v>64</v>
      </c>
      <c r="V471" t="s">
        <v>46</v>
      </c>
      <c r="W471" t="s">
        <v>46</v>
      </c>
      <c r="X471" t="s">
        <v>46</v>
      </c>
      <c r="Y471" t="s">
        <v>46</v>
      </c>
      <c r="Z471" t="s">
        <v>46</v>
      </c>
      <c r="AA471" t="s">
        <v>46</v>
      </c>
      <c r="AB471" s="2" t="s">
        <v>2247</v>
      </c>
      <c r="AC471" t="s">
        <v>43</v>
      </c>
      <c r="AD471" t="s">
        <v>43</v>
      </c>
      <c r="AE471" t="s">
        <v>43</v>
      </c>
      <c r="AF471" t="s">
        <v>43</v>
      </c>
      <c r="AG471" t="s">
        <v>43</v>
      </c>
      <c r="AH471" s="2" t="s">
        <v>43</v>
      </c>
    </row>
    <row r="472" spans="1:34" ht="75">
      <c r="A472" s="6" t="s">
        <v>577</v>
      </c>
      <c r="B472" s="7">
        <v>46076</v>
      </c>
      <c r="C472" s="9" t="str">
        <f>HYPERLINK("https://eping.wto.org/en/Search?viewData= G/TBT/N/BDI/715, G/TBT/N/KEN/1984, G/TBT/N/RWA/1353, G/TBT/N/TZA/1499, G/TBT/N/UGA/2314"," G/TBT/N/BDI/715, G/TBT/N/KEN/1984, G/TBT/N/RWA/1353, G/TBT/N/TZA/1499, G/TBT/N/UGA/2314")</f>
        <v xml:space="preserve"> G/TBT/N/BDI/715, G/TBT/N/KEN/1984, G/TBT/N/RWA/1353, G/TBT/N/TZA/1499, G/TBT/N/UGA/2314</v>
      </c>
      <c r="D472" s="8" t="s">
        <v>2153</v>
      </c>
      <c r="E472" s="8" t="s">
        <v>2154</v>
      </c>
      <c r="F472" s="8" t="s">
        <v>2047</v>
      </c>
      <c r="G472" s="8" t="s">
        <v>2048</v>
      </c>
      <c r="H472" s="8" t="s">
        <v>2049</v>
      </c>
      <c r="I472" s="8" t="s">
        <v>2155</v>
      </c>
      <c r="J472" s="8" t="s">
        <v>43</v>
      </c>
      <c r="K472" s="8" t="s">
        <v>43</v>
      </c>
      <c r="L472" s="6"/>
      <c r="M472" s="7">
        <v>46136</v>
      </c>
      <c r="N472" s="7" t="s">
        <v>740</v>
      </c>
      <c r="O472" s="7" t="s">
        <v>79</v>
      </c>
      <c r="P472" s="6" t="s">
        <v>62</v>
      </c>
      <c r="Q472" s="8" t="s">
        <v>2156</v>
      </c>
      <c r="R472" t="str">
        <f>HYPERLINK("https://docs.wto.org/imrd/directdoc.asp?DDFDocuments/t/G/TBTN26/BDI715.docx", "https://docs.wto.org/imrd/directdoc.asp?DDFDocuments/t/G/TBTN26/BDI715.docx")</f>
        <v>https://docs.wto.org/imrd/directdoc.asp?DDFDocuments/t/G/TBTN26/BDI715.docx</v>
      </c>
      <c r="S472" t="str">
        <f>HYPERLINK("https://docs.wto.org/imrd/directdoc.asp?DDFDocuments/u/G/TBTN26/BDI715.docx", "https://docs.wto.org/imrd/directdoc.asp?DDFDocuments/u/G/TBTN26/BDI715.docx")</f>
        <v>https://docs.wto.org/imrd/directdoc.asp?DDFDocuments/u/G/TBTN26/BDI715.docx</v>
      </c>
      <c r="T472" t="str">
        <f>HYPERLINK("https://docs.wto.org/imrd/directdoc.asp?DDFDocuments/v/G/TBTN26/BDI715.docx", "https://docs.wto.org/imrd/directdoc.asp?DDFDocuments/v/G/TBTN26/BDI715.docx")</f>
        <v>https://docs.wto.org/imrd/directdoc.asp?DDFDocuments/v/G/TBTN26/BDI715.docx</v>
      </c>
      <c r="U472" t="s">
        <v>64</v>
      </c>
      <c r="V472" t="s">
        <v>46</v>
      </c>
      <c r="W472" t="s">
        <v>46</v>
      </c>
      <c r="X472" t="s">
        <v>46</v>
      </c>
      <c r="Y472" t="s">
        <v>46</v>
      </c>
      <c r="Z472" t="s">
        <v>46</v>
      </c>
      <c r="AA472" t="s">
        <v>46</v>
      </c>
      <c r="AB472" s="2" t="s">
        <v>2157</v>
      </c>
      <c r="AC472" t="s">
        <v>43</v>
      </c>
      <c r="AD472" t="s">
        <v>43</v>
      </c>
      <c r="AE472" t="s">
        <v>43</v>
      </c>
      <c r="AF472" t="s">
        <v>43</v>
      </c>
      <c r="AG472" t="s">
        <v>43</v>
      </c>
      <c r="AH472" s="2" t="s">
        <v>43</v>
      </c>
    </row>
    <row r="473" spans="1:34" ht="75">
      <c r="A473" s="6" t="s">
        <v>124</v>
      </c>
      <c r="B473" s="7">
        <v>46076</v>
      </c>
      <c r="C473" s="9" t="str">
        <f>HYPERLINK("https://eping.wto.org/en/Search?viewData= G/TBT/N/BDI/715, G/TBT/N/KEN/1984, G/TBT/N/RWA/1353, G/TBT/N/TZA/1499, G/TBT/N/UGA/2314"," G/TBT/N/BDI/715, G/TBT/N/KEN/1984, G/TBT/N/RWA/1353, G/TBT/N/TZA/1499, G/TBT/N/UGA/2314")</f>
        <v xml:space="preserve"> G/TBT/N/BDI/715, G/TBT/N/KEN/1984, G/TBT/N/RWA/1353, G/TBT/N/TZA/1499, G/TBT/N/UGA/2314</v>
      </c>
      <c r="D473" s="8" t="s">
        <v>2153</v>
      </c>
      <c r="E473" s="8" t="s">
        <v>2154</v>
      </c>
      <c r="F473" s="8" t="s">
        <v>2047</v>
      </c>
      <c r="G473" s="8" t="s">
        <v>2048</v>
      </c>
      <c r="H473" s="8" t="s">
        <v>2049</v>
      </c>
      <c r="I473" s="8" t="s">
        <v>2155</v>
      </c>
      <c r="J473" s="8" t="s">
        <v>43</v>
      </c>
      <c r="K473" s="8" t="s">
        <v>43</v>
      </c>
      <c r="L473" s="6"/>
      <c r="M473" s="7">
        <v>46136</v>
      </c>
      <c r="N473" s="7" t="s">
        <v>740</v>
      </c>
      <c r="O473" s="7" t="s">
        <v>79</v>
      </c>
      <c r="P473" s="6" t="s">
        <v>62</v>
      </c>
      <c r="Q473" s="8" t="s">
        <v>2156</v>
      </c>
      <c r="R473" t="str">
        <f>HYPERLINK("https://docs.wto.org/imrd/directdoc.asp?DDFDocuments/t/G/TBTN26/BDI715.docx", "https://docs.wto.org/imrd/directdoc.asp?DDFDocuments/t/G/TBTN26/BDI715.docx")</f>
        <v>https://docs.wto.org/imrd/directdoc.asp?DDFDocuments/t/G/TBTN26/BDI715.docx</v>
      </c>
      <c r="S473" t="str">
        <f>HYPERLINK("https://docs.wto.org/imrd/directdoc.asp?DDFDocuments/u/G/TBTN26/BDI715.docx", "https://docs.wto.org/imrd/directdoc.asp?DDFDocuments/u/G/TBTN26/BDI715.docx")</f>
        <v>https://docs.wto.org/imrd/directdoc.asp?DDFDocuments/u/G/TBTN26/BDI715.docx</v>
      </c>
      <c r="T473" t="str">
        <f>HYPERLINK("https://docs.wto.org/imrd/directdoc.asp?DDFDocuments/v/G/TBTN26/BDI715.docx", "https://docs.wto.org/imrd/directdoc.asp?DDFDocuments/v/G/TBTN26/BDI715.docx")</f>
        <v>https://docs.wto.org/imrd/directdoc.asp?DDFDocuments/v/G/TBTN26/BDI715.docx</v>
      </c>
      <c r="U473" t="s">
        <v>64</v>
      </c>
      <c r="V473" t="s">
        <v>46</v>
      </c>
      <c r="W473" t="s">
        <v>46</v>
      </c>
      <c r="X473" t="s">
        <v>46</v>
      </c>
      <c r="Y473" t="s">
        <v>46</v>
      </c>
      <c r="Z473" t="s">
        <v>46</v>
      </c>
      <c r="AA473" t="s">
        <v>46</v>
      </c>
      <c r="AB473" s="2" t="s">
        <v>2157</v>
      </c>
      <c r="AC473" t="s">
        <v>43</v>
      </c>
      <c r="AD473" t="s">
        <v>43</v>
      </c>
      <c r="AE473" t="s">
        <v>43</v>
      </c>
      <c r="AF473" t="s">
        <v>43</v>
      </c>
      <c r="AG473" t="s">
        <v>43</v>
      </c>
      <c r="AH473" s="2" t="s">
        <v>43</v>
      </c>
    </row>
    <row r="474" spans="1:34" ht="150">
      <c r="A474" s="6" t="s">
        <v>303</v>
      </c>
      <c r="B474" s="7">
        <v>46076</v>
      </c>
      <c r="C474" s="9" t="str">
        <f>HYPERLINK("https://eping.wto.org/en/Search?viewData= G/TBT/N/KOR/1344"," G/TBT/N/KOR/1344")</f>
        <v xml:space="preserve"> G/TBT/N/KOR/1344</v>
      </c>
      <c r="D474" s="8" t="s">
        <v>2248</v>
      </c>
      <c r="E474" s="8" t="s">
        <v>2249</v>
      </c>
      <c r="F474" s="8" t="s">
        <v>2250</v>
      </c>
      <c r="G474" s="8" t="s">
        <v>43</v>
      </c>
      <c r="H474" s="8" t="s">
        <v>1427</v>
      </c>
      <c r="I474" s="8" t="s">
        <v>52</v>
      </c>
      <c r="J474" s="8" t="s">
        <v>2251</v>
      </c>
      <c r="K474" s="8" t="s">
        <v>43</v>
      </c>
      <c r="L474" s="6"/>
      <c r="M474" s="7">
        <v>46136</v>
      </c>
      <c r="N474" s="7" t="s">
        <v>79</v>
      </c>
      <c r="O474" s="7" t="s">
        <v>79</v>
      </c>
      <c r="P474" s="6" t="s">
        <v>62</v>
      </c>
      <c r="Q474" s="8" t="s">
        <v>2252</v>
      </c>
      <c r="R474" t="str">
        <f>HYPERLINK("https://docs.wto.org/imrd/directdoc.asp?DDFDocuments/t/G/TBTN26/KOR1344.docx", "https://docs.wto.org/imrd/directdoc.asp?DDFDocuments/t/G/TBTN26/KOR1344.docx")</f>
        <v>https://docs.wto.org/imrd/directdoc.asp?DDFDocuments/t/G/TBTN26/KOR1344.docx</v>
      </c>
      <c r="S474" t="str">
        <f>HYPERLINK("https://docs.wto.org/imrd/directdoc.asp?DDFDocuments/u/G/TBTN26/KOR1344.docx", "https://docs.wto.org/imrd/directdoc.asp?DDFDocuments/u/G/TBTN26/KOR1344.docx")</f>
        <v>https://docs.wto.org/imrd/directdoc.asp?DDFDocuments/u/G/TBTN26/KOR1344.docx</v>
      </c>
      <c r="T474" t="str">
        <f>HYPERLINK("https://docs.wto.org/imrd/directdoc.asp?DDFDocuments/v/G/TBTN26/KOR1344.docx", "https://docs.wto.org/imrd/directdoc.asp?DDFDocuments/v/G/TBTN26/KOR1344.docx")</f>
        <v>https://docs.wto.org/imrd/directdoc.asp?DDFDocuments/v/G/TBTN26/KOR1344.docx</v>
      </c>
      <c r="U474" t="s">
        <v>64</v>
      </c>
      <c r="V474" t="s">
        <v>46</v>
      </c>
      <c r="W474" t="s">
        <v>46</v>
      </c>
      <c r="X474" t="s">
        <v>46</v>
      </c>
      <c r="Y474" t="s">
        <v>46</v>
      </c>
      <c r="Z474" t="s">
        <v>46</v>
      </c>
      <c r="AA474" t="s">
        <v>46</v>
      </c>
      <c r="AB474" s="2" t="s">
        <v>2253</v>
      </c>
      <c r="AC474" t="s">
        <v>43</v>
      </c>
      <c r="AD474" t="s">
        <v>43</v>
      </c>
      <c r="AE474" t="s">
        <v>43</v>
      </c>
      <c r="AF474" t="s">
        <v>43</v>
      </c>
      <c r="AG474" t="s">
        <v>43</v>
      </c>
      <c r="AH474" s="2" t="s">
        <v>43</v>
      </c>
    </row>
    <row r="475" spans="1:34" ht="165">
      <c r="A475" s="6" t="s">
        <v>215</v>
      </c>
      <c r="B475" s="7">
        <v>46076</v>
      </c>
      <c r="C475" s="9" t="str">
        <f>HYPERLINK("https://eping.wto.org/en/Search?viewData= G/TBT/N/MYS/133"," G/TBT/N/MYS/133")</f>
        <v xml:space="preserve"> G/TBT/N/MYS/133</v>
      </c>
      <c r="D475" s="8" t="s">
        <v>2254</v>
      </c>
      <c r="E475" s="8" t="s">
        <v>2255</v>
      </c>
      <c r="F475" s="8" t="s">
        <v>2256</v>
      </c>
      <c r="G475" s="8" t="s">
        <v>2257</v>
      </c>
      <c r="H475" s="8" t="s">
        <v>953</v>
      </c>
      <c r="I475" s="8" t="s">
        <v>1124</v>
      </c>
      <c r="J475" s="8" t="s">
        <v>43</v>
      </c>
      <c r="K475" s="8" t="s">
        <v>240</v>
      </c>
      <c r="L475" s="6"/>
      <c r="M475" s="7">
        <v>46136</v>
      </c>
      <c r="N475" s="7" t="s">
        <v>79</v>
      </c>
      <c r="O475" s="7" t="s">
        <v>2258</v>
      </c>
      <c r="P475" s="6" t="s">
        <v>62</v>
      </c>
      <c r="Q475" s="6"/>
      <c r="R475" t="str">
        <f>HYPERLINK("https://docs.wto.org/imrd/directdoc.asp?DDFDocuments/t/G/TBTN26/MYS133.docx", "https://docs.wto.org/imrd/directdoc.asp?DDFDocuments/t/G/TBTN26/MYS133.docx")</f>
        <v>https://docs.wto.org/imrd/directdoc.asp?DDFDocuments/t/G/TBTN26/MYS133.docx</v>
      </c>
      <c r="S475" t="str">
        <f>HYPERLINK("https://docs.wto.org/imrd/directdoc.asp?DDFDocuments/u/G/TBTN26/MYS133.docx", "https://docs.wto.org/imrd/directdoc.asp?DDFDocuments/u/G/TBTN26/MYS133.docx")</f>
        <v>https://docs.wto.org/imrd/directdoc.asp?DDFDocuments/u/G/TBTN26/MYS133.docx</v>
      </c>
      <c r="T475" t="str">
        <f>HYPERLINK("https://docs.wto.org/imrd/directdoc.asp?DDFDocuments/v/G/TBTN26/MYS133.docx", "https://docs.wto.org/imrd/directdoc.asp?DDFDocuments/v/G/TBTN26/MYS133.docx")</f>
        <v>https://docs.wto.org/imrd/directdoc.asp?DDFDocuments/v/G/TBTN26/MYS133.docx</v>
      </c>
      <c r="U475" t="s">
        <v>64</v>
      </c>
      <c r="V475" t="s">
        <v>46</v>
      </c>
      <c r="W475" t="s">
        <v>46</v>
      </c>
      <c r="X475" t="s">
        <v>46</v>
      </c>
      <c r="Y475" t="s">
        <v>46</v>
      </c>
      <c r="Z475" t="s">
        <v>46</v>
      </c>
      <c r="AA475" t="s">
        <v>46</v>
      </c>
      <c r="AB475" s="2" t="s">
        <v>2259</v>
      </c>
      <c r="AC475" t="s">
        <v>43</v>
      </c>
      <c r="AD475" t="s">
        <v>43</v>
      </c>
      <c r="AE475" t="s">
        <v>43</v>
      </c>
      <c r="AF475" t="s">
        <v>43</v>
      </c>
      <c r="AG475" t="s">
        <v>43</v>
      </c>
      <c r="AH475" s="2" t="s">
        <v>43</v>
      </c>
    </row>
    <row r="476" spans="1:34" ht="120">
      <c r="A476" s="6" t="s">
        <v>108</v>
      </c>
      <c r="B476" s="7">
        <v>46076</v>
      </c>
      <c r="C476" s="9" t="str">
        <f>HYPERLINK("https://eping.wto.org/en/Search?viewData= G/TBT/N/RWA/1345"," G/TBT/N/RWA/1345")</f>
        <v xml:space="preserve"> G/TBT/N/RWA/1345</v>
      </c>
      <c r="D476" s="8" t="s">
        <v>2260</v>
      </c>
      <c r="E476" s="8" t="s">
        <v>2261</v>
      </c>
      <c r="F476" s="8" t="s">
        <v>2262</v>
      </c>
      <c r="G476" s="8" t="s">
        <v>43</v>
      </c>
      <c r="H476" s="8" t="s">
        <v>2263</v>
      </c>
      <c r="I476" s="8" t="s">
        <v>113</v>
      </c>
      <c r="J476" s="8" t="s">
        <v>43</v>
      </c>
      <c r="K476" s="8" t="s">
        <v>43</v>
      </c>
      <c r="L476" s="6"/>
      <c r="M476" s="7">
        <v>46136</v>
      </c>
      <c r="N476" s="7" t="s">
        <v>79</v>
      </c>
      <c r="O476" s="7" t="s">
        <v>114</v>
      </c>
      <c r="P476" s="6" t="s">
        <v>62</v>
      </c>
      <c r="Q476" s="8" t="s">
        <v>2264</v>
      </c>
      <c r="R476" t="str">
        <f>HYPERLINK("https://docs.wto.org/imrd/directdoc.asp?DDFDocuments/t/G/TBTN26/RWA1345.docx", "https://docs.wto.org/imrd/directdoc.asp?DDFDocuments/t/G/TBTN26/RWA1345.docx")</f>
        <v>https://docs.wto.org/imrd/directdoc.asp?DDFDocuments/t/G/TBTN26/RWA1345.docx</v>
      </c>
      <c r="S476" t="str">
        <f>HYPERLINK("https://docs.wto.org/imrd/directdoc.asp?DDFDocuments/u/G/TBTN26/RWA1345.docx", "https://docs.wto.org/imrd/directdoc.asp?DDFDocuments/u/G/TBTN26/RWA1345.docx")</f>
        <v>https://docs.wto.org/imrd/directdoc.asp?DDFDocuments/u/G/TBTN26/RWA1345.docx</v>
      </c>
      <c r="T476" t="str">
        <f>HYPERLINK("https://docs.wto.org/imrd/directdoc.asp?DDFDocuments/v/G/TBTN26/RWA1345.docx", "https://docs.wto.org/imrd/directdoc.asp?DDFDocuments/v/G/TBTN26/RWA1345.docx")</f>
        <v>https://docs.wto.org/imrd/directdoc.asp?DDFDocuments/v/G/TBTN26/RWA1345.docx</v>
      </c>
      <c r="U476" t="s">
        <v>64</v>
      </c>
      <c r="V476" t="s">
        <v>46</v>
      </c>
      <c r="W476" t="s">
        <v>46</v>
      </c>
      <c r="X476" t="s">
        <v>46</v>
      </c>
      <c r="Y476" t="s">
        <v>46</v>
      </c>
      <c r="Z476" t="s">
        <v>46</v>
      </c>
      <c r="AA476" t="s">
        <v>46</v>
      </c>
      <c r="AB476" s="2" t="s">
        <v>2265</v>
      </c>
      <c r="AC476" t="s">
        <v>43</v>
      </c>
      <c r="AD476" t="s">
        <v>43</v>
      </c>
      <c r="AE476" t="s">
        <v>43</v>
      </c>
      <c r="AF476" t="s">
        <v>43</v>
      </c>
      <c r="AG476" t="s">
        <v>43</v>
      </c>
      <c r="AH476" s="2" t="s">
        <v>43</v>
      </c>
    </row>
    <row r="477" spans="1:34" ht="165">
      <c r="A477" s="6" t="s">
        <v>108</v>
      </c>
      <c r="B477" s="7">
        <v>46076</v>
      </c>
      <c r="C477" s="9" t="str">
        <f>HYPERLINK("https://eping.wto.org/en/Search?viewData= G/TBT/N/RWA/1347"," G/TBT/N/RWA/1347")</f>
        <v xml:space="preserve"> G/TBT/N/RWA/1347</v>
      </c>
      <c r="D477" s="8" t="s">
        <v>2266</v>
      </c>
      <c r="E477" s="8" t="s">
        <v>2267</v>
      </c>
      <c r="F477" s="8" t="s">
        <v>2100</v>
      </c>
      <c r="G477" s="8" t="s">
        <v>43</v>
      </c>
      <c r="H477" s="8" t="s">
        <v>2101</v>
      </c>
      <c r="I477" s="8" t="s">
        <v>113</v>
      </c>
      <c r="J477" s="8" t="s">
        <v>43</v>
      </c>
      <c r="K477" s="8" t="s">
        <v>43</v>
      </c>
      <c r="L477" s="6"/>
      <c r="M477" s="7">
        <v>46136</v>
      </c>
      <c r="N477" s="7" t="s">
        <v>79</v>
      </c>
      <c r="O477" s="7" t="s">
        <v>114</v>
      </c>
      <c r="P477" s="6" t="s">
        <v>62</v>
      </c>
      <c r="Q477" s="8" t="s">
        <v>2268</v>
      </c>
      <c r="R477" t="str">
        <f>HYPERLINK("https://docs.wto.org/imrd/directdoc.asp?DDFDocuments/t/G/TBTN26/RWA1347.docx", "https://docs.wto.org/imrd/directdoc.asp?DDFDocuments/t/G/TBTN26/RWA1347.docx")</f>
        <v>https://docs.wto.org/imrd/directdoc.asp?DDFDocuments/t/G/TBTN26/RWA1347.docx</v>
      </c>
      <c r="S477" t="str">
        <f>HYPERLINK("https://docs.wto.org/imrd/directdoc.asp?DDFDocuments/u/G/TBTN26/RWA1347.docx", "https://docs.wto.org/imrd/directdoc.asp?DDFDocuments/u/G/TBTN26/RWA1347.docx")</f>
        <v>https://docs.wto.org/imrd/directdoc.asp?DDFDocuments/u/G/TBTN26/RWA1347.docx</v>
      </c>
      <c r="T477" t="str">
        <f>HYPERLINK("https://docs.wto.org/imrd/directdoc.asp?DDFDocuments/v/G/TBTN26/RWA1347.docx", "https://docs.wto.org/imrd/directdoc.asp?DDFDocuments/v/G/TBTN26/RWA1347.docx")</f>
        <v>https://docs.wto.org/imrd/directdoc.asp?DDFDocuments/v/G/TBTN26/RWA1347.docx</v>
      </c>
      <c r="U477" t="s">
        <v>64</v>
      </c>
      <c r="V477" t="s">
        <v>46</v>
      </c>
      <c r="W477" t="s">
        <v>46</v>
      </c>
      <c r="X477" t="s">
        <v>46</v>
      </c>
      <c r="Y477" t="s">
        <v>46</v>
      </c>
      <c r="Z477" t="s">
        <v>46</v>
      </c>
      <c r="AA477" t="s">
        <v>46</v>
      </c>
      <c r="AB477" s="2" t="s">
        <v>2269</v>
      </c>
      <c r="AC477" t="s">
        <v>43</v>
      </c>
      <c r="AD477" t="s">
        <v>43</v>
      </c>
      <c r="AE477" t="s">
        <v>43</v>
      </c>
      <c r="AF477" t="s">
        <v>43</v>
      </c>
      <c r="AG477" t="s">
        <v>43</v>
      </c>
      <c r="AH477" s="2" t="s">
        <v>43</v>
      </c>
    </row>
    <row r="478" spans="1:34" ht="60">
      <c r="A478" s="6" t="s">
        <v>289</v>
      </c>
      <c r="B478" s="7">
        <v>46076</v>
      </c>
      <c r="C478" s="9" t="str">
        <f>HYPERLINK("https://eping.wto.org/en/Search?viewData= G/TBT/N/BRA/1620"," G/TBT/N/BRA/1620")</f>
        <v xml:space="preserve"> G/TBT/N/BRA/1620</v>
      </c>
      <c r="D478" s="8" t="s">
        <v>2270</v>
      </c>
      <c r="E478" s="8" t="s">
        <v>2271</v>
      </c>
      <c r="F478" s="8" t="s">
        <v>2272</v>
      </c>
      <c r="G478" s="8" t="s">
        <v>2273</v>
      </c>
      <c r="H478" s="8" t="s">
        <v>1998</v>
      </c>
      <c r="I478" s="8" t="s">
        <v>129</v>
      </c>
      <c r="J478" s="8" t="s">
        <v>43</v>
      </c>
      <c r="K478" s="8" t="s">
        <v>240</v>
      </c>
      <c r="L478" s="6"/>
      <c r="M478" s="7">
        <v>46136</v>
      </c>
      <c r="N478" s="7" t="s">
        <v>1999</v>
      </c>
      <c r="O478" s="7" t="s">
        <v>1999</v>
      </c>
      <c r="P478" s="6" t="s">
        <v>62</v>
      </c>
      <c r="Q478" s="8" t="s">
        <v>2274</v>
      </c>
      <c r="R478" t="str">
        <f>HYPERLINK("https://docs.wto.org/imrd/directdoc.asp?DDFDocuments/t/G/TBTN26/BRA1620.docx", "https://docs.wto.org/imrd/directdoc.asp?DDFDocuments/t/G/TBTN26/BRA1620.docx")</f>
        <v>https://docs.wto.org/imrd/directdoc.asp?DDFDocuments/t/G/TBTN26/BRA1620.docx</v>
      </c>
      <c r="S478" t="str">
        <f>HYPERLINK("https://docs.wto.org/imrd/directdoc.asp?DDFDocuments/u/G/TBTN26/BRA1620.docx", "https://docs.wto.org/imrd/directdoc.asp?DDFDocuments/u/G/TBTN26/BRA1620.docx")</f>
        <v>https://docs.wto.org/imrd/directdoc.asp?DDFDocuments/u/G/TBTN26/BRA1620.docx</v>
      </c>
      <c r="T478" t="str">
        <f>HYPERLINK("https://docs.wto.org/imrd/directdoc.asp?DDFDocuments/v/G/TBTN26/BRA1620.docx", "https://docs.wto.org/imrd/directdoc.asp?DDFDocuments/v/G/TBTN26/BRA1620.docx")</f>
        <v>https://docs.wto.org/imrd/directdoc.asp?DDFDocuments/v/G/TBTN26/BRA1620.docx</v>
      </c>
      <c r="U478" t="s">
        <v>64</v>
      </c>
      <c r="V478" t="s">
        <v>46</v>
      </c>
      <c r="W478" t="s">
        <v>46</v>
      </c>
      <c r="X478" t="s">
        <v>46</v>
      </c>
      <c r="Y478" t="s">
        <v>46</v>
      </c>
      <c r="Z478" t="s">
        <v>46</v>
      </c>
      <c r="AA478" t="s">
        <v>46</v>
      </c>
      <c r="AB478" s="2" t="s">
        <v>2275</v>
      </c>
      <c r="AC478" t="s">
        <v>43</v>
      </c>
      <c r="AD478" t="s">
        <v>43</v>
      </c>
      <c r="AE478" t="s">
        <v>43</v>
      </c>
      <c r="AF478" t="s">
        <v>43</v>
      </c>
      <c r="AG478" t="s">
        <v>43</v>
      </c>
      <c r="AH478" s="2" t="s">
        <v>43</v>
      </c>
    </row>
    <row r="479" spans="1:34" ht="45">
      <c r="A479" s="6" t="s">
        <v>880</v>
      </c>
      <c r="B479" s="7">
        <v>46076</v>
      </c>
      <c r="C479" s="9" t="str">
        <f>HYPERLINK("https://eping.wto.org/en/Search?viewData= G/SPS/N/ECU/382"," G/SPS/N/ECU/382")</f>
        <v xml:space="preserve"> G/SPS/N/ECU/382</v>
      </c>
      <c r="D479" s="8" t="s">
        <v>2276</v>
      </c>
      <c r="E479" s="8" t="s">
        <v>2277</v>
      </c>
      <c r="F479" s="8" t="s">
        <v>2278</v>
      </c>
      <c r="G479" s="8" t="s">
        <v>43</v>
      </c>
      <c r="H479" s="8" t="s">
        <v>43</v>
      </c>
      <c r="I479" s="8" t="s">
        <v>254</v>
      </c>
      <c r="J479" s="8" t="s">
        <v>43</v>
      </c>
      <c r="K479" s="8" t="s">
        <v>512</v>
      </c>
      <c r="L479" s="6" t="s">
        <v>249</v>
      </c>
      <c r="M479" s="7">
        <v>46136</v>
      </c>
      <c r="N479" s="7" t="s">
        <v>79</v>
      </c>
      <c r="O479" s="7" t="s">
        <v>79</v>
      </c>
      <c r="P479" s="6" t="s">
        <v>62</v>
      </c>
      <c r="Q479" s="8" t="s">
        <v>2279</v>
      </c>
      <c r="R479" t="str">
        <f>HYPERLINK("https://docs.wto.org/imrd/directdoc.asp?DDFDocuments/t/G/SPS/NECU382.docx", "https://docs.wto.org/imrd/directdoc.asp?DDFDocuments/t/G/SPS/NECU382.docx")</f>
        <v>https://docs.wto.org/imrd/directdoc.asp?DDFDocuments/t/G/SPS/NECU382.docx</v>
      </c>
      <c r="S479" t="str">
        <f>HYPERLINK("https://docs.wto.org/imrd/directdoc.asp?DDFDocuments/u/G/SPS/NECU382.docx", "https://docs.wto.org/imrd/directdoc.asp?DDFDocuments/u/G/SPS/NECU382.docx")</f>
        <v>https://docs.wto.org/imrd/directdoc.asp?DDFDocuments/u/G/SPS/NECU382.docx</v>
      </c>
      <c r="T479" t="str">
        <f>HYPERLINK("https://docs.wto.org/imrd/directdoc.asp?DDFDocuments/v/G/SPS/NECU382.docx", "https://docs.wto.org/imrd/directdoc.asp?DDFDocuments/v/G/SPS/NECU382.docx")</f>
        <v>https://docs.wto.org/imrd/directdoc.asp?DDFDocuments/v/G/SPS/NECU382.docx</v>
      </c>
      <c r="U479" t="s">
        <v>43</v>
      </c>
      <c r="V479" t="s">
        <v>43</v>
      </c>
      <c r="W479" t="s">
        <v>43</v>
      </c>
      <c r="X479" t="s">
        <v>43</v>
      </c>
      <c r="Y479" t="s">
        <v>43</v>
      </c>
      <c r="Z479" t="s">
        <v>43</v>
      </c>
      <c r="AA479" t="s">
        <v>43</v>
      </c>
      <c r="AB479" s="2" t="s">
        <v>43</v>
      </c>
      <c r="AC479" t="s">
        <v>46</v>
      </c>
      <c r="AD479" t="s">
        <v>46</v>
      </c>
      <c r="AE479" t="s">
        <v>46</v>
      </c>
      <c r="AF479" t="s">
        <v>64</v>
      </c>
      <c r="AG479" t="s">
        <v>99</v>
      </c>
      <c r="AH479" s="2" t="s">
        <v>43</v>
      </c>
    </row>
    <row r="480" spans="1:34" ht="105">
      <c r="A480" s="6" t="s">
        <v>1814</v>
      </c>
      <c r="B480" s="7">
        <v>46076</v>
      </c>
      <c r="C480" s="9" t="str">
        <f>HYPERLINK("https://eping.wto.org/en/Search?viewData= G/SPS/N/GBR/118/Corr.1"," G/SPS/N/GBR/118/Corr.1")</f>
        <v xml:space="preserve"> G/SPS/N/GBR/118/Corr.1</v>
      </c>
      <c r="D480" s="8" t="s">
        <v>2280</v>
      </c>
      <c r="E480" s="8" t="s">
        <v>2281</v>
      </c>
      <c r="F480" s="8" t="s">
        <v>2282</v>
      </c>
      <c r="G480" s="8" t="s">
        <v>43</v>
      </c>
      <c r="H480" s="8" t="s">
        <v>43</v>
      </c>
      <c r="I480" s="8" t="s">
        <v>58</v>
      </c>
      <c r="J480" s="8" t="s">
        <v>43</v>
      </c>
      <c r="K480" s="8" t="s">
        <v>2283</v>
      </c>
      <c r="L480" s="6"/>
      <c r="M480" s="7" t="s">
        <v>43</v>
      </c>
      <c r="N480" s="7"/>
      <c r="O480" s="7"/>
      <c r="P480" s="6" t="s">
        <v>296</v>
      </c>
      <c r="Q480" s="6"/>
      <c r="R480" t="str">
        <f>HYPERLINK("https://docs.wto.org/imrd/directdoc.asp?DDFDocuments/t/G/SPS/NGBR118C1.docx", "https://docs.wto.org/imrd/directdoc.asp?DDFDocuments/t/G/SPS/NGBR118C1.docx")</f>
        <v>https://docs.wto.org/imrd/directdoc.asp?DDFDocuments/t/G/SPS/NGBR118C1.docx</v>
      </c>
      <c r="S480" t="str">
        <f>HYPERLINK("https://docs.wto.org/imrd/directdoc.asp?DDFDocuments/u/G/SPS/NGBR118C1.docx", "https://docs.wto.org/imrd/directdoc.asp?DDFDocuments/u/G/SPS/NGBR118C1.docx")</f>
        <v>https://docs.wto.org/imrd/directdoc.asp?DDFDocuments/u/G/SPS/NGBR118C1.docx</v>
      </c>
      <c r="T480" t="str">
        <f>HYPERLINK("https://docs.wto.org/imrd/directdoc.asp?DDFDocuments/v/G/SPS/NGBR118C1.docx", "https://docs.wto.org/imrd/directdoc.asp?DDFDocuments/v/G/SPS/NGBR118C1.docx")</f>
        <v>https://docs.wto.org/imrd/directdoc.asp?DDFDocuments/v/G/SPS/NGBR118C1.docx</v>
      </c>
      <c r="U480" t="s">
        <v>43</v>
      </c>
      <c r="V480" t="s">
        <v>43</v>
      </c>
      <c r="W480" t="s">
        <v>43</v>
      </c>
      <c r="X480" t="s">
        <v>43</v>
      </c>
      <c r="Y480" t="s">
        <v>43</v>
      </c>
      <c r="Z480" t="s">
        <v>43</v>
      </c>
      <c r="AA480" t="s">
        <v>43</v>
      </c>
      <c r="AB480" s="2" t="s">
        <v>43</v>
      </c>
      <c r="AC480" t="s">
        <v>43</v>
      </c>
      <c r="AD480" t="s">
        <v>43</v>
      </c>
      <c r="AE480" t="s">
        <v>43</v>
      </c>
      <c r="AF480" t="s">
        <v>43</v>
      </c>
      <c r="AG480" t="s">
        <v>43</v>
      </c>
      <c r="AH480" s="2" t="s">
        <v>43</v>
      </c>
    </row>
    <row r="481" spans="1:34" ht="90">
      <c r="A481" s="6" t="s">
        <v>1346</v>
      </c>
      <c r="B481" s="7">
        <v>46073</v>
      </c>
      <c r="C481" s="9" t="str">
        <f>HYPERLINK("https://eping.wto.org/en/Search?viewData= G/SPS/N/KGZ/46"," G/SPS/N/KGZ/46")</f>
        <v xml:space="preserve"> G/SPS/N/KGZ/46</v>
      </c>
      <c r="D481" s="8" t="s">
        <v>2284</v>
      </c>
      <c r="E481" s="8" t="s">
        <v>2285</v>
      </c>
      <c r="F481" s="8" t="s">
        <v>2286</v>
      </c>
      <c r="G481" s="8" t="s">
        <v>43</v>
      </c>
      <c r="H481" s="8" t="s">
        <v>43</v>
      </c>
      <c r="I481" s="8" t="s">
        <v>254</v>
      </c>
      <c r="J481" s="8" t="s">
        <v>43</v>
      </c>
      <c r="K481" s="8" t="s">
        <v>512</v>
      </c>
      <c r="L481" s="6" t="s">
        <v>43</v>
      </c>
      <c r="M481" s="7">
        <v>46133</v>
      </c>
      <c r="N481" s="7" t="s">
        <v>304</v>
      </c>
      <c r="O481" s="7" t="s">
        <v>304</v>
      </c>
      <c r="P481" s="6" t="s">
        <v>62</v>
      </c>
      <c r="Q481" s="8" t="s">
        <v>2287</v>
      </c>
      <c r="R481" t="str">
        <f>HYPERLINK("https://docs.wto.org/imrd/directdoc.asp?DDFDocuments/t/G/SPS/NKGZ46.docx", "https://docs.wto.org/imrd/directdoc.asp?DDFDocuments/t/G/SPS/NKGZ46.docx")</f>
        <v>https://docs.wto.org/imrd/directdoc.asp?DDFDocuments/t/G/SPS/NKGZ46.docx</v>
      </c>
      <c r="S481" t="str">
        <f>HYPERLINK("https://docs.wto.org/imrd/directdoc.asp?DDFDocuments/u/G/SPS/NKGZ46.docx", "https://docs.wto.org/imrd/directdoc.asp?DDFDocuments/u/G/SPS/NKGZ46.docx")</f>
        <v>https://docs.wto.org/imrd/directdoc.asp?DDFDocuments/u/G/SPS/NKGZ46.docx</v>
      </c>
      <c r="T481" t="str">
        <f>HYPERLINK("https://docs.wto.org/imrd/directdoc.asp?DDFDocuments/v/G/SPS/NKGZ46.docx", "https://docs.wto.org/imrd/directdoc.asp?DDFDocuments/v/G/SPS/NKGZ46.docx")</f>
        <v>https://docs.wto.org/imrd/directdoc.asp?DDFDocuments/v/G/SPS/NKGZ46.docx</v>
      </c>
      <c r="U481" t="s">
        <v>43</v>
      </c>
      <c r="V481" t="s">
        <v>43</v>
      </c>
      <c r="W481" t="s">
        <v>43</v>
      </c>
      <c r="X481" t="s">
        <v>43</v>
      </c>
      <c r="Y481" t="s">
        <v>43</v>
      </c>
      <c r="Z481" t="s">
        <v>43</v>
      </c>
      <c r="AA481" t="s">
        <v>43</v>
      </c>
      <c r="AB481" s="2" t="s">
        <v>43</v>
      </c>
      <c r="AC481" t="s">
        <v>46</v>
      </c>
      <c r="AD481" t="s">
        <v>46</v>
      </c>
      <c r="AE481" t="s">
        <v>64</v>
      </c>
      <c r="AF481" t="s">
        <v>46</v>
      </c>
      <c r="AG481" t="s">
        <v>64</v>
      </c>
      <c r="AH481" s="2" t="s">
        <v>43</v>
      </c>
    </row>
    <row r="482" spans="1:34" ht="285">
      <c r="A482" s="6" t="s">
        <v>132</v>
      </c>
      <c r="B482" s="7">
        <v>46073</v>
      </c>
      <c r="C482" s="9" t="str">
        <f>HYPERLINK("https://eping.wto.org/en/Search?viewData= G/TBT/N/USA/2211/Add.1"," G/TBT/N/USA/2211/Add.1")</f>
        <v xml:space="preserve"> G/TBT/N/USA/2211/Add.1</v>
      </c>
      <c r="D482" s="8" t="s">
        <v>2288</v>
      </c>
      <c r="E482" s="8" t="s">
        <v>2289</v>
      </c>
      <c r="F482" s="8" t="s">
        <v>2290</v>
      </c>
      <c r="G482" s="8" t="s">
        <v>43</v>
      </c>
      <c r="H482" s="8" t="s">
        <v>2291</v>
      </c>
      <c r="I482" s="8" t="s">
        <v>2292</v>
      </c>
      <c r="J482" s="8" t="s">
        <v>43</v>
      </c>
      <c r="K482" s="8" t="s">
        <v>43</v>
      </c>
      <c r="L482" s="6"/>
      <c r="M482" s="7" t="s">
        <v>43</v>
      </c>
      <c r="N482" s="7"/>
      <c r="O482" s="7"/>
      <c r="P482" s="6" t="s">
        <v>44</v>
      </c>
      <c r="Q482" s="8" t="s">
        <v>2293</v>
      </c>
      <c r="R482" t="str">
        <f>HYPERLINK("https://docs.wto.org/imrd/directdoc.asp?DDFDocuments/t/G/TBTN25/USA2211A1.docx", "https://docs.wto.org/imrd/directdoc.asp?DDFDocuments/t/G/TBTN25/USA2211A1.docx")</f>
        <v>https://docs.wto.org/imrd/directdoc.asp?DDFDocuments/t/G/TBTN25/USA2211A1.docx</v>
      </c>
      <c r="S482" t="str">
        <f>HYPERLINK("https://docs.wto.org/imrd/directdoc.asp?DDFDocuments/u/G/TBTN25/USA2211A1.docx", "https://docs.wto.org/imrd/directdoc.asp?DDFDocuments/u/G/TBTN25/USA2211A1.docx")</f>
        <v>https://docs.wto.org/imrd/directdoc.asp?DDFDocuments/u/G/TBTN25/USA2211A1.docx</v>
      </c>
      <c r="T482" t="str">
        <f>HYPERLINK("https://docs.wto.org/imrd/directdoc.asp?DDFDocuments/v/G/TBTN25/USA2211A1.docx", "https://docs.wto.org/imrd/directdoc.asp?DDFDocuments/v/G/TBTN25/USA2211A1.docx")</f>
        <v>https://docs.wto.org/imrd/directdoc.asp?DDFDocuments/v/G/TBTN25/USA2211A1.docx</v>
      </c>
      <c r="U482" t="s">
        <v>64</v>
      </c>
      <c r="V482" t="s">
        <v>46</v>
      </c>
      <c r="W482" t="s">
        <v>46</v>
      </c>
      <c r="X482" t="s">
        <v>46</v>
      </c>
      <c r="Y482" t="s">
        <v>46</v>
      </c>
      <c r="Z482" t="s">
        <v>46</v>
      </c>
      <c r="AA482" t="s">
        <v>46</v>
      </c>
      <c r="AB482" s="2" t="s">
        <v>43</v>
      </c>
      <c r="AC482" t="s">
        <v>43</v>
      </c>
      <c r="AD482" t="s">
        <v>43</v>
      </c>
      <c r="AE482" t="s">
        <v>43</v>
      </c>
      <c r="AF482" t="s">
        <v>43</v>
      </c>
      <c r="AG482" t="s">
        <v>43</v>
      </c>
      <c r="AH482" s="2" t="s">
        <v>43</v>
      </c>
    </row>
    <row r="483" spans="1:34" ht="300">
      <c r="A483" s="6" t="s">
        <v>2294</v>
      </c>
      <c r="B483" s="7">
        <v>46073</v>
      </c>
      <c r="C483" s="9" t="str">
        <f>HYPERLINK("https://eping.wto.org/en/Search?viewData= G/TBT/N/SLV/169/Add.2"," G/TBT/N/SLV/169/Add.2")</f>
        <v xml:space="preserve"> G/TBT/N/SLV/169/Add.2</v>
      </c>
      <c r="D483" s="8" t="s">
        <v>2295</v>
      </c>
      <c r="E483" s="8" t="s">
        <v>2296</v>
      </c>
      <c r="F483" s="8" t="s">
        <v>2297</v>
      </c>
      <c r="G483" s="8" t="s">
        <v>43</v>
      </c>
      <c r="H483" s="8" t="s">
        <v>2298</v>
      </c>
      <c r="I483" s="8" t="s">
        <v>275</v>
      </c>
      <c r="J483" s="8" t="s">
        <v>2299</v>
      </c>
      <c r="K483" s="8" t="s">
        <v>43</v>
      </c>
      <c r="L483" s="6"/>
      <c r="M483" s="7">
        <v>46102</v>
      </c>
      <c r="N483" s="7"/>
      <c r="O483" s="7"/>
      <c r="P483" s="6" t="s">
        <v>44</v>
      </c>
      <c r="Q483" s="6"/>
      <c r="R483" t="str">
        <f>HYPERLINK("https://docs.wto.org/imrd/directdoc.asp?DDFDocuments/t/G/TBTN13/SLV169A2.docx", "https://docs.wto.org/imrd/directdoc.asp?DDFDocuments/t/G/TBTN13/SLV169A2.docx")</f>
        <v>https://docs.wto.org/imrd/directdoc.asp?DDFDocuments/t/G/TBTN13/SLV169A2.docx</v>
      </c>
      <c r="S483" t="str">
        <f>HYPERLINK("https://docs.wto.org/imrd/directdoc.asp?DDFDocuments/u/G/TBTN13/SLV169A2.docx", "https://docs.wto.org/imrd/directdoc.asp?DDFDocuments/u/G/TBTN13/SLV169A2.docx")</f>
        <v>https://docs.wto.org/imrd/directdoc.asp?DDFDocuments/u/G/TBTN13/SLV169A2.docx</v>
      </c>
      <c r="T483" t="str">
        <f>HYPERLINK("https://docs.wto.org/imrd/directdoc.asp?DDFDocuments/v/G/TBTN13/SLV169A2.docx", "https://docs.wto.org/imrd/directdoc.asp?DDFDocuments/v/G/TBTN13/SLV169A2.docx")</f>
        <v>https://docs.wto.org/imrd/directdoc.asp?DDFDocuments/v/G/TBTN13/SLV169A2.docx</v>
      </c>
      <c r="U483" t="s">
        <v>64</v>
      </c>
      <c r="V483" t="s">
        <v>46</v>
      </c>
      <c r="W483" t="s">
        <v>46</v>
      </c>
      <c r="X483" t="s">
        <v>46</v>
      </c>
      <c r="Y483" t="s">
        <v>46</v>
      </c>
      <c r="Z483" t="s">
        <v>46</v>
      </c>
      <c r="AA483" t="s">
        <v>46</v>
      </c>
      <c r="AB483" s="2" t="s">
        <v>43</v>
      </c>
      <c r="AC483" t="s">
        <v>43</v>
      </c>
      <c r="AD483" t="s">
        <v>43</v>
      </c>
      <c r="AE483" t="s">
        <v>43</v>
      </c>
      <c r="AF483" t="s">
        <v>43</v>
      </c>
      <c r="AG483" t="s">
        <v>43</v>
      </c>
      <c r="AH483" s="2" t="s">
        <v>43</v>
      </c>
    </row>
    <row r="484" spans="1:34" ht="375">
      <c r="A484" s="6" t="s">
        <v>132</v>
      </c>
      <c r="B484" s="7">
        <v>46073</v>
      </c>
      <c r="C484" s="9" t="str">
        <f>HYPERLINK("https://eping.wto.org/en/Search?viewData= G/TBT/N/USA/1684/Rev.1/Add.1"," G/TBT/N/USA/1684/Rev.1/Add.1")</f>
        <v xml:space="preserve"> G/TBT/N/USA/1684/Rev.1/Add.1</v>
      </c>
      <c r="D484" s="8" t="s">
        <v>2300</v>
      </c>
      <c r="E484" s="8" t="s">
        <v>2301</v>
      </c>
      <c r="F484" s="8" t="s">
        <v>2302</v>
      </c>
      <c r="G484" s="8" t="s">
        <v>43</v>
      </c>
      <c r="H484" s="8" t="s">
        <v>2303</v>
      </c>
      <c r="I484" s="8" t="s">
        <v>322</v>
      </c>
      <c r="J484" s="8" t="s">
        <v>43</v>
      </c>
      <c r="K484" s="8" t="s">
        <v>43</v>
      </c>
      <c r="L484" s="6"/>
      <c r="M484" s="7" t="s">
        <v>43</v>
      </c>
      <c r="N484" s="7"/>
      <c r="O484" s="7"/>
      <c r="P484" s="6" t="s">
        <v>44</v>
      </c>
      <c r="Q484" s="8" t="s">
        <v>2304</v>
      </c>
      <c r="R484" t="str">
        <f>HYPERLINK("https://docs.wto.org/imrd/directdoc.asp?DDFDocuments/t/G/TBTN21/USA1684R1A1.docx", "https://docs.wto.org/imrd/directdoc.asp?DDFDocuments/t/G/TBTN21/USA1684R1A1.docx")</f>
        <v>https://docs.wto.org/imrd/directdoc.asp?DDFDocuments/t/G/TBTN21/USA1684R1A1.docx</v>
      </c>
      <c r="S484" t="str">
        <f>HYPERLINK("https://docs.wto.org/imrd/directdoc.asp?DDFDocuments/u/G/TBTN21/USA1684R1A1.docx", "https://docs.wto.org/imrd/directdoc.asp?DDFDocuments/u/G/TBTN21/USA1684R1A1.docx")</f>
        <v>https://docs.wto.org/imrd/directdoc.asp?DDFDocuments/u/G/TBTN21/USA1684R1A1.docx</v>
      </c>
      <c r="T484" t="str">
        <f>HYPERLINK("https://docs.wto.org/imrd/directdoc.asp?DDFDocuments/v/G/TBTN21/USA1684R1A1.docx", "https://docs.wto.org/imrd/directdoc.asp?DDFDocuments/v/G/TBTN21/USA1684R1A1.docx")</f>
        <v>https://docs.wto.org/imrd/directdoc.asp?DDFDocuments/v/G/TBTN21/USA1684R1A1.docx</v>
      </c>
      <c r="U484" t="s">
        <v>64</v>
      </c>
      <c r="V484" t="s">
        <v>46</v>
      </c>
      <c r="W484" t="s">
        <v>46</v>
      </c>
      <c r="X484" t="s">
        <v>46</v>
      </c>
      <c r="Y484" t="s">
        <v>46</v>
      </c>
      <c r="Z484" t="s">
        <v>46</v>
      </c>
      <c r="AA484" t="s">
        <v>46</v>
      </c>
      <c r="AB484" s="2" t="s">
        <v>43</v>
      </c>
      <c r="AC484" t="s">
        <v>43</v>
      </c>
      <c r="AD484" t="s">
        <v>43</v>
      </c>
      <c r="AE484" t="s">
        <v>43</v>
      </c>
      <c r="AF484" t="s">
        <v>43</v>
      </c>
      <c r="AG484" t="s">
        <v>43</v>
      </c>
      <c r="AH484" s="2" t="s">
        <v>43</v>
      </c>
    </row>
    <row r="485" spans="1:34" ht="300">
      <c r="A485" s="6" t="s">
        <v>132</v>
      </c>
      <c r="B485" s="7">
        <v>46073</v>
      </c>
      <c r="C485" s="9" t="str">
        <f>HYPERLINK("https://eping.wto.org/en/Search?viewData= G/SPS/N/USA/3552"," G/SPS/N/USA/3552")</f>
        <v xml:space="preserve"> G/SPS/N/USA/3552</v>
      </c>
      <c r="D485" s="8" t="s">
        <v>2305</v>
      </c>
      <c r="E485" s="8" t="s">
        <v>2306</v>
      </c>
      <c r="F485" s="8" t="s">
        <v>2307</v>
      </c>
      <c r="G485" s="8" t="s">
        <v>43</v>
      </c>
      <c r="H485" s="8" t="s">
        <v>43</v>
      </c>
      <c r="I485" s="8" t="s">
        <v>58</v>
      </c>
      <c r="J485" s="8" t="s">
        <v>43</v>
      </c>
      <c r="K485" s="8" t="s">
        <v>157</v>
      </c>
      <c r="L485" s="6"/>
      <c r="M485" s="7">
        <v>46104</v>
      </c>
      <c r="N485" s="7">
        <v>46104</v>
      </c>
      <c r="O485" s="7">
        <v>46104</v>
      </c>
      <c r="P485" s="6" t="s">
        <v>62</v>
      </c>
      <c r="Q485" s="8" t="s">
        <v>2308</v>
      </c>
      <c r="R485" t="str">
        <f>HYPERLINK("https://docs.wto.org/imrd/directdoc.asp?DDFDocuments/t/G/SPS/NUSA3552.docx", "https://docs.wto.org/imrd/directdoc.asp?DDFDocuments/t/G/SPS/NUSA3552.docx")</f>
        <v>https://docs.wto.org/imrd/directdoc.asp?DDFDocuments/t/G/SPS/NUSA3552.docx</v>
      </c>
      <c r="S485" t="str">
        <f>HYPERLINK("https://docs.wto.org/imrd/directdoc.asp?DDFDocuments/u/G/SPS/NUSA3552.docx", "https://docs.wto.org/imrd/directdoc.asp?DDFDocuments/u/G/SPS/NUSA3552.docx")</f>
        <v>https://docs.wto.org/imrd/directdoc.asp?DDFDocuments/u/G/SPS/NUSA3552.docx</v>
      </c>
      <c r="T485" t="str">
        <f>HYPERLINK("https://docs.wto.org/imrd/directdoc.asp?DDFDocuments/v/G/SPS/NUSA3552.docx", "https://docs.wto.org/imrd/directdoc.asp?DDFDocuments/v/G/SPS/NUSA3552.docx")</f>
        <v>https://docs.wto.org/imrd/directdoc.asp?DDFDocuments/v/G/SPS/NUSA3552.docx</v>
      </c>
      <c r="U485" t="s">
        <v>43</v>
      </c>
      <c r="V485" t="s">
        <v>43</v>
      </c>
      <c r="W485" t="s">
        <v>43</v>
      </c>
      <c r="X485" t="s">
        <v>43</v>
      </c>
      <c r="Y485" t="s">
        <v>43</v>
      </c>
      <c r="Z485" t="s">
        <v>43</v>
      </c>
      <c r="AA485" t="s">
        <v>43</v>
      </c>
      <c r="AB485" s="2" t="s">
        <v>43</v>
      </c>
      <c r="AC485" t="s">
        <v>46</v>
      </c>
      <c r="AD485" t="s">
        <v>46</v>
      </c>
      <c r="AE485" t="s">
        <v>46</v>
      </c>
      <c r="AF485" t="s">
        <v>64</v>
      </c>
      <c r="AG485" t="s">
        <v>99</v>
      </c>
      <c r="AH485" s="2" t="s">
        <v>43</v>
      </c>
    </row>
    <row r="486" spans="1:34" ht="135">
      <c r="A486" s="6" t="s">
        <v>132</v>
      </c>
      <c r="B486" s="7">
        <v>46073</v>
      </c>
      <c r="C486" s="9" t="str">
        <f>HYPERLINK("https://eping.wto.org/en/Search?viewData= G/TBT/N/USA/2262"," G/TBT/N/USA/2262")</f>
        <v xml:space="preserve"> G/TBT/N/USA/2262</v>
      </c>
      <c r="D486" s="8" t="s">
        <v>2309</v>
      </c>
      <c r="E486" s="8" t="s">
        <v>2310</v>
      </c>
      <c r="F486" s="8" t="s">
        <v>2311</v>
      </c>
      <c r="G486" s="8" t="s">
        <v>2312</v>
      </c>
      <c r="H486" s="8" t="s">
        <v>2313</v>
      </c>
      <c r="I486" s="8" t="s">
        <v>52</v>
      </c>
      <c r="J486" s="8" t="s">
        <v>26</v>
      </c>
      <c r="K486" s="8" t="s">
        <v>43</v>
      </c>
      <c r="L486" s="6"/>
      <c r="M486" s="7" t="s">
        <v>43</v>
      </c>
      <c r="N486" s="7">
        <v>46072</v>
      </c>
      <c r="O486" s="7">
        <v>46072</v>
      </c>
      <c r="P486" s="6" t="s">
        <v>62</v>
      </c>
      <c r="Q486" s="8" t="s">
        <v>2314</v>
      </c>
      <c r="R486" t="str">
        <f>HYPERLINK("https://docs.wto.org/imrd/directdoc.asp?DDFDocuments/t/G/TBTN26/USA2262.docx", "https://docs.wto.org/imrd/directdoc.asp?DDFDocuments/t/G/TBTN26/USA2262.docx")</f>
        <v>https://docs.wto.org/imrd/directdoc.asp?DDFDocuments/t/G/TBTN26/USA2262.docx</v>
      </c>
      <c r="S486" t="str">
        <f>HYPERLINK("https://docs.wto.org/imrd/directdoc.asp?DDFDocuments/u/G/TBTN26/USA2262.docx", "https://docs.wto.org/imrd/directdoc.asp?DDFDocuments/u/G/TBTN26/USA2262.docx")</f>
        <v>https://docs.wto.org/imrd/directdoc.asp?DDFDocuments/u/G/TBTN26/USA2262.docx</v>
      </c>
      <c r="T486" t="str">
        <f>HYPERLINK("https://docs.wto.org/imrd/directdoc.asp?DDFDocuments/v/G/TBTN26/USA2262.docx", "https://docs.wto.org/imrd/directdoc.asp?DDFDocuments/v/G/TBTN26/USA2262.docx")</f>
        <v>https://docs.wto.org/imrd/directdoc.asp?DDFDocuments/v/G/TBTN26/USA2262.docx</v>
      </c>
      <c r="U486" t="s">
        <v>46</v>
      </c>
      <c r="V486" t="s">
        <v>46</v>
      </c>
      <c r="W486" t="s">
        <v>46</v>
      </c>
      <c r="X486" t="s">
        <v>46</v>
      </c>
      <c r="Y486" t="s">
        <v>46</v>
      </c>
      <c r="Z486" t="s">
        <v>46</v>
      </c>
      <c r="AA486" t="s">
        <v>64</v>
      </c>
      <c r="AB486" s="2" t="s">
        <v>2315</v>
      </c>
      <c r="AC486" t="s">
        <v>43</v>
      </c>
      <c r="AD486" t="s">
        <v>43</v>
      </c>
      <c r="AE486" t="s">
        <v>43</v>
      </c>
      <c r="AF486" t="s">
        <v>43</v>
      </c>
      <c r="AG486" t="s">
        <v>43</v>
      </c>
      <c r="AH486" s="2" t="s">
        <v>43</v>
      </c>
    </row>
    <row r="487" spans="1:34" ht="165">
      <c r="A487" s="6" t="s">
        <v>356</v>
      </c>
      <c r="B487" s="7">
        <v>46073</v>
      </c>
      <c r="C487" s="9" t="str">
        <f>HYPERLINK("https://eping.wto.org/en/Search?viewData= G/TBT/N/EU/1192"," G/TBT/N/EU/1192")</f>
        <v xml:space="preserve"> G/TBT/N/EU/1192</v>
      </c>
      <c r="D487" s="8" t="s">
        <v>2316</v>
      </c>
      <c r="E487" s="8" t="s">
        <v>2317</v>
      </c>
      <c r="F487" s="8" t="s">
        <v>2318</v>
      </c>
      <c r="G487" s="8" t="s">
        <v>43</v>
      </c>
      <c r="H487" s="8" t="s">
        <v>1573</v>
      </c>
      <c r="I487" s="8" t="s">
        <v>2319</v>
      </c>
      <c r="J487" s="8" t="s">
        <v>2320</v>
      </c>
      <c r="K487" s="8" t="s">
        <v>350</v>
      </c>
      <c r="L487" s="6"/>
      <c r="M487" s="7">
        <v>46163</v>
      </c>
      <c r="N487" s="7" t="s">
        <v>145</v>
      </c>
      <c r="O487" s="7" t="s">
        <v>2321</v>
      </c>
      <c r="P487" s="6" t="s">
        <v>62</v>
      </c>
      <c r="Q487" s="8" t="s">
        <v>2322</v>
      </c>
      <c r="R487" t="str">
        <f>HYPERLINK("https://docs.wto.org/imrd/directdoc.asp?DDFDocuments/t/G/TBTN26/EU1192.docx", "https://docs.wto.org/imrd/directdoc.asp?DDFDocuments/t/G/TBTN26/EU1192.docx")</f>
        <v>https://docs.wto.org/imrd/directdoc.asp?DDFDocuments/t/G/TBTN26/EU1192.docx</v>
      </c>
      <c r="S487" t="str">
        <f>HYPERLINK("https://docs.wto.org/imrd/directdoc.asp?DDFDocuments/u/G/TBTN26/EU1192.docx", "https://docs.wto.org/imrd/directdoc.asp?DDFDocuments/u/G/TBTN26/EU1192.docx")</f>
        <v>https://docs.wto.org/imrd/directdoc.asp?DDFDocuments/u/G/TBTN26/EU1192.docx</v>
      </c>
      <c r="T487" t="str">
        <f>HYPERLINK("https://docs.wto.org/imrd/directdoc.asp?DDFDocuments/v/G/TBTN26/EU1192.docx", "https://docs.wto.org/imrd/directdoc.asp?DDFDocuments/v/G/TBTN26/EU1192.docx")</f>
        <v>https://docs.wto.org/imrd/directdoc.asp?DDFDocuments/v/G/TBTN26/EU1192.docx</v>
      </c>
      <c r="U487" t="s">
        <v>64</v>
      </c>
      <c r="V487" t="s">
        <v>46</v>
      </c>
      <c r="W487" t="s">
        <v>46</v>
      </c>
      <c r="X487" t="s">
        <v>46</v>
      </c>
      <c r="Y487" t="s">
        <v>46</v>
      </c>
      <c r="Z487" t="s">
        <v>46</v>
      </c>
      <c r="AA487" t="s">
        <v>46</v>
      </c>
      <c r="AB487" s="2" t="s">
        <v>2323</v>
      </c>
      <c r="AC487" t="s">
        <v>43</v>
      </c>
      <c r="AD487" t="s">
        <v>43</v>
      </c>
      <c r="AE487" t="s">
        <v>43</v>
      </c>
      <c r="AF487" t="s">
        <v>43</v>
      </c>
      <c r="AG487" t="s">
        <v>43</v>
      </c>
      <c r="AH487" s="2" t="s">
        <v>43</v>
      </c>
    </row>
    <row r="488" spans="1:34" ht="90">
      <c r="A488" s="6" t="s">
        <v>289</v>
      </c>
      <c r="B488" s="7">
        <v>46073</v>
      </c>
      <c r="C488" s="9" t="str">
        <f>HYPERLINK("https://eping.wto.org/en/Search?viewData= G/SPS/N/BRA/2429/Add.1"," G/SPS/N/BRA/2429/Add.1")</f>
        <v xml:space="preserve"> G/SPS/N/BRA/2429/Add.1</v>
      </c>
      <c r="D488" s="8" t="s">
        <v>2324</v>
      </c>
      <c r="E488" s="8" t="s">
        <v>2325</v>
      </c>
      <c r="F488" s="8" t="s">
        <v>1515</v>
      </c>
      <c r="G488" s="8" t="s">
        <v>43</v>
      </c>
      <c r="H488" s="8" t="s">
        <v>2326</v>
      </c>
      <c r="I488" s="8" t="s">
        <v>58</v>
      </c>
      <c r="J488" s="8" t="s">
        <v>43</v>
      </c>
      <c r="K488" s="8" t="s">
        <v>2327</v>
      </c>
      <c r="L488" s="6"/>
      <c r="M488" s="7">
        <v>46133</v>
      </c>
      <c r="N488" s="7"/>
      <c r="O488" s="7"/>
      <c r="P488" s="6" t="s">
        <v>44</v>
      </c>
      <c r="Q488" s="8" t="s">
        <v>2328</v>
      </c>
      <c r="R488" t="str">
        <f>HYPERLINK("https://docs.wto.org/imrd/directdoc.asp?DDFDocuments/t/G/SPS/NBRA2429A1.docx", "https://docs.wto.org/imrd/directdoc.asp?DDFDocuments/t/G/SPS/NBRA2429A1.docx")</f>
        <v>https://docs.wto.org/imrd/directdoc.asp?DDFDocuments/t/G/SPS/NBRA2429A1.docx</v>
      </c>
      <c r="S488" t="str">
        <f>HYPERLINK("https://docs.wto.org/imrd/directdoc.asp?DDFDocuments/u/G/SPS/NBRA2429A1.docx", "https://docs.wto.org/imrd/directdoc.asp?DDFDocuments/u/G/SPS/NBRA2429A1.docx")</f>
        <v>https://docs.wto.org/imrd/directdoc.asp?DDFDocuments/u/G/SPS/NBRA2429A1.docx</v>
      </c>
      <c r="T488" t="str">
        <f>HYPERLINK("https://docs.wto.org/imrd/directdoc.asp?DDFDocuments/v/G/SPS/NBRA2429A1.docx", "https://docs.wto.org/imrd/directdoc.asp?DDFDocuments/v/G/SPS/NBRA2429A1.docx")</f>
        <v>https://docs.wto.org/imrd/directdoc.asp?DDFDocuments/v/G/SPS/NBRA2429A1.docx</v>
      </c>
      <c r="U488" t="s">
        <v>43</v>
      </c>
      <c r="V488" t="s">
        <v>43</v>
      </c>
      <c r="W488" t="s">
        <v>43</v>
      </c>
      <c r="X488" t="s">
        <v>43</v>
      </c>
      <c r="Y488" t="s">
        <v>43</v>
      </c>
      <c r="Z488" t="s">
        <v>43</v>
      </c>
      <c r="AA488" t="s">
        <v>43</v>
      </c>
      <c r="AB488" s="2" t="s">
        <v>43</v>
      </c>
      <c r="AC488" t="s">
        <v>43</v>
      </c>
      <c r="AD488" t="s">
        <v>43</v>
      </c>
      <c r="AE488" t="s">
        <v>43</v>
      </c>
      <c r="AF488" t="s">
        <v>43</v>
      </c>
      <c r="AG488" t="s">
        <v>43</v>
      </c>
      <c r="AH488" s="2" t="s">
        <v>43</v>
      </c>
    </row>
    <row r="489" spans="1:34" ht="90">
      <c r="A489" s="6" t="s">
        <v>289</v>
      </c>
      <c r="B489" s="7">
        <v>46073</v>
      </c>
      <c r="C489" s="9" t="str">
        <f>HYPERLINK("https://eping.wto.org/en/Search?viewData= G/SPS/N/BRA/2425/Add.1"," G/SPS/N/BRA/2425/Add.1")</f>
        <v xml:space="preserve"> G/SPS/N/BRA/2425/Add.1</v>
      </c>
      <c r="D489" s="8" t="s">
        <v>2329</v>
      </c>
      <c r="E489" s="8" t="s">
        <v>2330</v>
      </c>
      <c r="F489" s="8" t="s">
        <v>1515</v>
      </c>
      <c r="G489" s="8" t="s">
        <v>43</v>
      </c>
      <c r="H489" s="8" t="s">
        <v>2326</v>
      </c>
      <c r="I489" s="8" t="s">
        <v>58</v>
      </c>
      <c r="J489" s="8" t="s">
        <v>43</v>
      </c>
      <c r="K489" s="8" t="s">
        <v>2331</v>
      </c>
      <c r="L489" s="6"/>
      <c r="M489" s="7">
        <v>46133</v>
      </c>
      <c r="N489" s="7"/>
      <c r="O489" s="7"/>
      <c r="P489" s="6" t="s">
        <v>44</v>
      </c>
      <c r="Q489" s="8" t="s">
        <v>2332</v>
      </c>
      <c r="R489" t="str">
        <f>HYPERLINK("https://docs.wto.org/imrd/directdoc.asp?DDFDocuments/t/G/SPS/NBRA2425A1.docx", "https://docs.wto.org/imrd/directdoc.asp?DDFDocuments/t/G/SPS/NBRA2425A1.docx")</f>
        <v>https://docs.wto.org/imrd/directdoc.asp?DDFDocuments/t/G/SPS/NBRA2425A1.docx</v>
      </c>
      <c r="S489" t="str">
        <f>HYPERLINK("https://docs.wto.org/imrd/directdoc.asp?DDFDocuments/u/G/SPS/NBRA2425A1.docx", "https://docs.wto.org/imrd/directdoc.asp?DDFDocuments/u/G/SPS/NBRA2425A1.docx")</f>
        <v>https://docs.wto.org/imrd/directdoc.asp?DDFDocuments/u/G/SPS/NBRA2425A1.docx</v>
      </c>
      <c r="T489" t="str">
        <f>HYPERLINK("https://docs.wto.org/imrd/directdoc.asp?DDFDocuments/v/G/SPS/NBRA2425A1.docx", "https://docs.wto.org/imrd/directdoc.asp?DDFDocuments/v/G/SPS/NBRA2425A1.docx")</f>
        <v>https://docs.wto.org/imrd/directdoc.asp?DDFDocuments/v/G/SPS/NBRA2425A1.docx</v>
      </c>
      <c r="U489" t="s">
        <v>43</v>
      </c>
      <c r="V489" t="s">
        <v>43</v>
      </c>
      <c r="W489" t="s">
        <v>43</v>
      </c>
      <c r="X489" t="s">
        <v>43</v>
      </c>
      <c r="Y489" t="s">
        <v>43</v>
      </c>
      <c r="Z489" t="s">
        <v>43</v>
      </c>
      <c r="AA489" t="s">
        <v>43</v>
      </c>
      <c r="AB489" s="2" t="s">
        <v>43</v>
      </c>
      <c r="AC489" t="s">
        <v>43</v>
      </c>
      <c r="AD489" t="s">
        <v>43</v>
      </c>
      <c r="AE489" t="s">
        <v>43</v>
      </c>
      <c r="AF489" t="s">
        <v>43</v>
      </c>
      <c r="AG489" t="s">
        <v>43</v>
      </c>
      <c r="AH489" s="2" t="s">
        <v>43</v>
      </c>
    </row>
    <row r="490" spans="1:34" ht="60">
      <c r="A490" s="6" t="s">
        <v>289</v>
      </c>
      <c r="B490" s="7">
        <v>46073</v>
      </c>
      <c r="C490" s="9" t="str">
        <f>HYPERLINK("https://eping.wto.org/en/Search?viewData= G/SPS/N/BRA/2442/Add.1"," G/SPS/N/BRA/2442/Add.1")</f>
        <v xml:space="preserve"> G/SPS/N/BRA/2442/Add.1</v>
      </c>
      <c r="D490" s="8" t="s">
        <v>2333</v>
      </c>
      <c r="E490" s="8" t="s">
        <v>2334</v>
      </c>
      <c r="F490" s="8" t="s">
        <v>1515</v>
      </c>
      <c r="G490" s="8" t="s">
        <v>43</v>
      </c>
      <c r="H490" s="8" t="s">
        <v>2326</v>
      </c>
      <c r="I490" s="8" t="s">
        <v>58</v>
      </c>
      <c r="J490" s="8" t="s">
        <v>43</v>
      </c>
      <c r="K490" s="8" t="s">
        <v>2327</v>
      </c>
      <c r="L490" s="6"/>
      <c r="M490" s="7">
        <v>46133</v>
      </c>
      <c r="N490" s="7"/>
      <c r="O490" s="7"/>
      <c r="P490" s="6" t="s">
        <v>44</v>
      </c>
      <c r="Q490" s="8" t="s">
        <v>2335</v>
      </c>
      <c r="R490" t="str">
        <f>HYPERLINK("https://docs.wto.org/imrd/directdoc.asp?DDFDocuments/t/G/SPS/NBRA2442A1.docx", "https://docs.wto.org/imrd/directdoc.asp?DDFDocuments/t/G/SPS/NBRA2442A1.docx")</f>
        <v>https://docs.wto.org/imrd/directdoc.asp?DDFDocuments/t/G/SPS/NBRA2442A1.docx</v>
      </c>
      <c r="S490" t="str">
        <f>HYPERLINK("https://docs.wto.org/imrd/directdoc.asp?DDFDocuments/u/G/SPS/NBRA2442A1.docx", "https://docs.wto.org/imrd/directdoc.asp?DDFDocuments/u/G/SPS/NBRA2442A1.docx")</f>
        <v>https://docs.wto.org/imrd/directdoc.asp?DDFDocuments/u/G/SPS/NBRA2442A1.docx</v>
      </c>
      <c r="T490" t="str">
        <f>HYPERLINK("https://docs.wto.org/imrd/directdoc.asp?DDFDocuments/v/G/SPS/NBRA2442A1.docx", "https://docs.wto.org/imrd/directdoc.asp?DDFDocuments/v/G/SPS/NBRA2442A1.docx")</f>
        <v>https://docs.wto.org/imrd/directdoc.asp?DDFDocuments/v/G/SPS/NBRA2442A1.docx</v>
      </c>
      <c r="U490" t="s">
        <v>43</v>
      </c>
      <c r="V490" t="s">
        <v>43</v>
      </c>
      <c r="W490" t="s">
        <v>43</v>
      </c>
      <c r="X490" t="s">
        <v>43</v>
      </c>
      <c r="Y490" t="s">
        <v>43</v>
      </c>
      <c r="Z490" t="s">
        <v>43</v>
      </c>
      <c r="AA490" t="s">
        <v>43</v>
      </c>
      <c r="AB490" s="2" t="s">
        <v>43</v>
      </c>
      <c r="AC490" t="s">
        <v>43</v>
      </c>
      <c r="AD490" t="s">
        <v>43</v>
      </c>
      <c r="AE490" t="s">
        <v>43</v>
      </c>
      <c r="AF490" t="s">
        <v>43</v>
      </c>
      <c r="AG490" t="s">
        <v>43</v>
      </c>
      <c r="AH490" s="2" t="s">
        <v>43</v>
      </c>
    </row>
    <row r="491" spans="1:34" ht="180">
      <c r="A491" s="6" t="s">
        <v>2294</v>
      </c>
      <c r="B491" s="7">
        <v>46073</v>
      </c>
      <c r="C491" s="9" t="str">
        <f>HYPERLINK("https://eping.wto.org/en/Search?viewData= G/SPS/N/SLV/109/Add.2"," G/SPS/N/SLV/109/Add.2")</f>
        <v xml:space="preserve"> G/SPS/N/SLV/109/Add.2</v>
      </c>
      <c r="D491" s="8" t="s">
        <v>2336</v>
      </c>
      <c r="E491" s="8" t="s">
        <v>2336</v>
      </c>
      <c r="F491" s="8" t="s">
        <v>2337</v>
      </c>
      <c r="G491" s="8" t="s">
        <v>43</v>
      </c>
      <c r="H491" s="8" t="s">
        <v>2338</v>
      </c>
      <c r="I491" s="8" t="s">
        <v>2339</v>
      </c>
      <c r="J491" s="8"/>
      <c r="K491" s="8" t="s">
        <v>2340</v>
      </c>
      <c r="L491" s="6"/>
      <c r="M491" s="7" t="s">
        <v>43</v>
      </c>
      <c r="N491" s="7"/>
      <c r="O491" s="7"/>
      <c r="P491" s="6" t="s">
        <v>44</v>
      </c>
      <c r="Q491" s="8" t="s">
        <v>2341</v>
      </c>
      <c r="R491" t="str">
        <f>HYPERLINK("https://docs.wto.org/imrd/directdoc.asp?DDFDocuments/t/G/SPS/NSLV109A2.docx", "https://docs.wto.org/imrd/directdoc.asp?DDFDocuments/t/G/SPS/NSLV109A2.docx")</f>
        <v>https://docs.wto.org/imrd/directdoc.asp?DDFDocuments/t/G/SPS/NSLV109A2.docx</v>
      </c>
      <c r="S491" t="str">
        <f>HYPERLINK("https://docs.wto.org/imrd/directdoc.asp?DDFDocuments/u/G/SPS/NSLV109A2.docx", "https://docs.wto.org/imrd/directdoc.asp?DDFDocuments/u/G/SPS/NSLV109A2.docx")</f>
        <v>https://docs.wto.org/imrd/directdoc.asp?DDFDocuments/u/G/SPS/NSLV109A2.docx</v>
      </c>
      <c r="T491" t="str">
        <f>HYPERLINK("https://docs.wto.org/imrd/directdoc.asp?DDFDocuments/v/G/SPS/NSLV109A2.docx", "https://docs.wto.org/imrd/directdoc.asp?DDFDocuments/v/G/SPS/NSLV109A2.docx")</f>
        <v>https://docs.wto.org/imrd/directdoc.asp?DDFDocuments/v/G/SPS/NSLV109A2.docx</v>
      </c>
      <c r="U491" t="s">
        <v>43</v>
      </c>
      <c r="V491" t="s">
        <v>43</v>
      </c>
      <c r="W491" t="s">
        <v>43</v>
      </c>
      <c r="X491" t="s">
        <v>43</v>
      </c>
      <c r="Y491" t="s">
        <v>43</v>
      </c>
      <c r="Z491" t="s">
        <v>43</v>
      </c>
      <c r="AA491" t="s">
        <v>43</v>
      </c>
      <c r="AB491" s="2" t="s">
        <v>43</v>
      </c>
      <c r="AC491" t="s">
        <v>43</v>
      </c>
      <c r="AD491" t="s">
        <v>43</v>
      </c>
      <c r="AE491" t="s">
        <v>43</v>
      </c>
      <c r="AF491" t="s">
        <v>43</v>
      </c>
      <c r="AG491" t="s">
        <v>43</v>
      </c>
      <c r="AH491" s="2" t="s">
        <v>43</v>
      </c>
    </row>
    <row r="492" spans="1:34" ht="270">
      <c r="A492" s="6" t="s">
        <v>132</v>
      </c>
      <c r="B492" s="7">
        <v>46073</v>
      </c>
      <c r="C492" s="9" t="str">
        <f>HYPERLINK("https://eping.wto.org/en/Search?viewData= G/TBT/N/USA/2212/Add.1"," G/TBT/N/USA/2212/Add.1")</f>
        <v xml:space="preserve"> G/TBT/N/USA/2212/Add.1</v>
      </c>
      <c r="D492" s="8" t="s">
        <v>2342</v>
      </c>
      <c r="E492" s="8" t="s">
        <v>2343</v>
      </c>
      <c r="F492" s="8" t="s">
        <v>2344</v>
      </c>
      <c r="G492" s="8" t="s">
        <v>43</v>
      </c>
      <c r="H492" s="8" t="s">
        <v>2345</v>
      </c>
      <c r="I492" s="8" t="s">
        <v>322</v>
      </c>
      <c r="J492" s="8" t="s">
        <v>43</v>
      </c>
      <c r="K492" s="8" t="s">
        <v>43</v>
      </c>
      <c r="L492" s="6"/>
      <c r="M492" s="7" t="s">
        <v>43</v>
      </c>
      <c r="N492" s="7"/>
      <c r="O492" s="7"/>
      <c r="P492" s="6" t="s">
        <v>44</v>
      </c>
      <c r="Q492" s="8" t="s">
        <v>2346</v>
      </c>
      <c r="R492" t="str">
        <f>HYPERLINK("https://docs.wto.org/imrd/directdoc.asp?DDFDocuments/t/G/TBTN25/USA2212A1.docx", "https://docs.wto.org/imrd/directdoc.asp?DDFDocuments/t/G/TBTN25/USA2212A1.docx")</f>
        <v>https://docs.wto.org/imrd/directdoc.asp?DDFDocuments/t/G/TBTN25/USA2212A1.docx</v>
      </c>
      <c r="S492" t="str">
        <f>HYPERLINK("https://docs.wto.org/imrd/directdoc.asp?DDFDocuments/u/G/TBTN25/USA2212A1.docx", "https://docs.wto.org/imrd/directdoc.asp?DDFDocuments/u/G/TBTN25/USA2212A1.docx")</f>
        <v>https://docs.wto.org/imrd/directdoc.asp?DDFDocuments/u/G/TBTN25/USA2212A1.docx</v>
      </c>
      <c r="T492" t="str">
        <f>HYPERLINK("https://docs.wto.org/imrd/directdoc.asp?DDFDocuments/v/G/TBTN25/USA2212A1.docx", "https://docs.wto.org/imrd/directdoc.asp?DDFDocuments/v/G/TBTN25/USA2212A1.docx")</f>
        <v>https://docs.wto.org/imrd/directdoc.asp?DDFDocuments/v/G/TBTN25/USA2212A1.docx</v>
      </c>
      <c r="U492" t="s">
        <v>64</v>
      </c>
      <c r="V492" t="s">
        <v>46</v>
      </c>
      <c r="W492" t="s">
        <v>46</v>
      </c>
      <c r="X492" t="s">
        <v>46</v>
      </c>
      <c r="Y492" t="s">
        <v>46</v>
      </c>
      <c r="Z492" t="s">
        <v>46</v>
      </c>
      <c r="AA492" t="s">
        <v>46</v>
      </c>
      <c r="AB492" s="2" t="s">
        <v>43</v>
      </c>
      <c r="AC492" t="s">
        <v>43</v>
      </c>
      <c r="AD492" t="s">
        <v>43</v>
      </c>
      <c r="AE492" t="s">
        <v>43</v>
      </c>
      <c r="AF492" t="s">
        <v>43</v>
      </c>
      <c r="AG492" t="s">
        <v>43</v>
      </c>
      <c r="AH492" s="2" t="s">
        <v>43</v>
      </c>
    </row>
    <row r="493" spans="1:34" ht="105">
      <c r="A493" s="6" t="s">
        <v>289</v>
      </c>
      <c r="B493" s="7">
        <v>46073</v>
      </c>
      <c r="C493" s="9" t="str">
        <f>HYPERLINK("https://eping.wto.org/en/Search?viewData= G/TBT/N/BRA/1587/Add.1"," G/TBT/N/BRA/1587/Add.1")</f>
        <v xml:space="preserve"> G/TBT/N/BRA/1587/Add.1</v>
      </c>
      <c r="D493" s="8" t="s">
        <v>2347</v>
      </c>
      <c r="E493" s="8" t="s">
        <v>2348</v>
      </c>
      <c r="F493" s="8" t="s">
        <v>2349</v>
      </c>
      <c r="G493" s="8" t="s">
        <v>43</v>
      </c>
      <c r="H493" s="8" t="s">
        <v>2350</v>
      </c>
      <c r="I493" s="8" t="s">
        <v>275</v>
      </c>
      <c r="J493" s="8" t="s">
        <v>2351</v>
      </c>
      <c r="K493" s="8" t="s">
        <v>43</v>
      </c>
      <c r="L493" s="6"/>
      <c r="M493" s="7" t="s">
        <v>43</v>
      </c>
      <c r="N493" s="7"/>
      <c r="O493" s="7"/>
      <c r="P493" s="6" t="s">
        <v>44</v>
      </c>
      <c r="Q493" s="8" t="s">
        <v>2352</v>
      </c>
      <c r="R493" t="str">
        <f>HYPERLINK("https://docs.wto.org/imrd/directdoc.asp?DDFDocuments/t/G/TBTN25/BRA1587A1.docx", "https://docs.wto.org/imrd/directdoc.asp?DDFDocuments/t/G/TBTN25/BRA1587A1.docx")</f>
        <v>https://docs.wto.org/imrd/directdoc.asp?DDFDocuments/t/G/TBTN25/BRA1587A1.docx</v>
      </c>
      <c r="S493" t="str">
        <f>HYPERLINK("https://docs.wto.org/imrd/directdoc.asp?DDFDocuments/u/G/TBTN25/BRA1587A1.docx", "https://docs.wto.org/imrd/directdoc.asp?DDFDocuments/u/G/TBTN25/BRA1587A1.docx")</f>
        <v>https://docs.wto.org/imrd/directdoc.asp?DDFDocuments/u/G/TBTN25/BRA1587A1.docx</v>
      </c>
      <c r="T493" t="str">
        <f>HYPERLINK("https://docs.wto.org/imrd/directdoc.asp?DDFDocuments/v/G/TBTN25/BRA1587A1.docx", "https://docs.wto.org/imrd/directdoc.asp?DDFDocuments/v/G/TBTN25/BRA1587A1.docx")</f>
        <v>https://docs.wto.org/imrd/directdoc.asp?DDFDocuments/v/G/TBTN25/BRA1587A1.docx</v>
      </c>
      <c r="U493" t="s">
        <v>64</v>
      </c>
      <c r="V493" t="s">
        <v>46</v>
      </c>
      <c r="W493" t="s">
        <v>46</v>
      </c>
      <c r="X493" t="s">
        <v>46</v>
      </c>
      <c r="Y493" t="s">
        <v>46</v>
      </c>
      <c r="Z493" t="s">
        <v>46</v>
      </c>
      <c r="AA493" t="s">
        <v>46</v>
      </c>
      <c r="AB493" s="2" t="s">
        <v>43</v>
      </c>
      <c r="AC493" t="s">
        <v>43</v>
      </c>
      <c r="AD493" t="s">
        <v>43</v>
      </c>
      <c r="AE493" t="s">
        <v>43</v>
      </c>
      <c r="AF493" t="s">
        <v>43</v>
      </c>
      <c r="AG493" t="s">
        <v>43</v>
      </c>
      <c r="AH493" s="2" t="s">
        <v>43</v>
      </c>
    </row>
    <row r="494" spans="1:34" ht="75">
      <c r="A494" s="6" t="s">
        <v>1346</v>
      </c>
      <c r="B494" s="7">
        <v>46073</v>
      </c>
      <c r="C494" s="9" t="str">
        <f>HYPERLINK("https://eping.wto.org/en/Search?viewData= G/SPS/N/KGZ/45"," G/SPS/N/KGZ/45")</f>
        <v xml:space="preserve"> G/SPS/N/KGZ/45</v>
      </c>
      <c r="D494" s="8" t="s">
        <v>2353</v>
      </c>
      <c r="E494" s="8" t="s">
        <v>2354</v>
      </c>
      <c r="F494" s="8" t="s">
        <v>1606</v>
      </c>
      <c r="G494" s="8" t="s">
        <v>43</v>
      </c>
      <c r="H494" s="8" t="s">
        <v>43</v>
      </c>
      <c r="I494" s="8" t="s">
        <v>104</v>
      </c>
      <c r="J494" s="8" t="s">
        <v>43</v>
      </c>
      <c r="K494" s="8" t="s">
        <v>749</v>
      </c>
      <c r="L494" s="6" t="s">
        <v>43</v>
      </c>
      <c r="M494" s="7">
        <v>46120</v>
      </c>
      <c r="N494" s="7" t="s">
        <v>304</v>
      </c>
      <c r="O494" s="7" t="s">
        <v>304</v>
      </c>
      <c r="P494" s="6" t="s">
        <v>62</v>
      </c>
      <c r="Q494" s="8" t="s">
        <v>2355</v>
      </c>
      <c r="R494" t="str">
        <f>HYPERLINK("https://docs.wto.org/imrd/directdoc.asp?DDFDocuments/t/G/SPS/NKGZ45.docx", "https://docs.wto.org/imrd/directdoc.asp?DDFDocuments/t/G/SPS/NKGZ45.docx")</f>
        <v>https://docs.wto.org/imrd/directdoc.asp?DDFDocuments/t/G/SPS/NKGZ45.docx</v>
      </c>
      <c r="S494" t="str">
        <f>HYPERLINK("https://docs.wto.org/imrd/directdoc.asp?DDFDocuments/u/G/SPS/NKGZ45.docx", "https://docs.wto.org/imrd/directdoc.asp?DDFDocuments/u/G/SPS/NKGZ45.docx")</f>
        <v>https://docs.wto.org/imrd/directdoc.asp?DDFDocuments/u/G/SPS/NKGZ45.docx</v>
      </c>
      <c r="T494" t="str">
        <f>HYPERLINK("https://docs.wto.org/imrd/directdoc.asp?DDFDocuments/v/G/SPS/NKGZ45.docx", "https://docs.wto.org/imrd/directdoc.asp?DDFDocuments/v/G/SPS/NKGZ45.docx")</f>
        <v>https://docs.wto.org/imrd/directdoc.asp?DDFDocuments/v/G/SPS/NKGZ45.docx</v>
      </c>
      <c r="U494" t="s">
        <v>43</v>
      </c>
      <c r="V494" t="s">
        <v>43</v>
      </c>
      <c r="W494" t="s">
        <v>43</v>
      </c>
      <c r="X494" t="s">
        <v>43</v>
      </c>
      <c r="Y494" t="s">
        <v>43</v>
      </c>
      <c r="Z494" t="s">
        <v>43</v>
      </c>
      <c r="AA494" t="s">
        <v>43</v>
      </c>
      <c r="AB494" s="2" t="s">
        <v>43</v>
      </c>
      <c r="AC494" t="s">
        <v>46</v>
      </c>
      <c r="AD494" t="s">
        <v>64</v>
      </c>
      <c r="AE494" t="s">
        <v>46</v>
      </c>
      <c r="AF494" t="s">
        <v>46</v>
      </c>
      <c r="AG494" t="s">
        <v>64</v>
      </c>
      <c r="AH494" s="2" t="s">
        <v>43</v>
      </c>
    </row>
    <row r="495" spans="1:34" ht="390">
      <c r="A495" s="6" t="s">
        <v>132</v>
      </c>
      <c r="B495" s="7">
        <v>46073</v>
      </c>
      <c r="C495" s="9" t="str">
        <f>HYPERLINK("https://eping.wto.org/en/Search?viewData= G/TBT/N/USA/1983/Add.4"," G/TBT/N/USA/1983/Add.4")</f>
        <v xml:space="preserve"> G/TBT/N/USA/1983/Add.4</v>
      </c>
      <c r="D495" s="8" t="s">
        <v>2356</v>
      </c>
      <c r="E495" s="8" t="s">
        <v>2357</v>
      </c>
      <c r="F495" s="8" t="s">
        <v>2358</v>
      </c>
      <c r="G495" s="8" t="s">
        <v>43</v>
      </c>
      <c r="H495" s="8" t="s">
        <v>2359</v>
      </c>
      <c r="I495" s="8" t="s">
        <v>2360</v>
      </c>
      <c r="J495" s="8" t="s">
        <v>43</v>
      </c>
      <c r="K495" s="8" t="s">
        <v>43</v>
      </c>
      <c r="L495" s="6"/>
      <c r="M495" s="7">
        <v>46104</v>
      </c>
      <c r="N495" s="7"/>
      <c r="O495" s="7"/>
      <c r="P495" s="6" t="s">
        <v>44</v>
      </c>
      <c r="Q495" s="8" t="s">
        <v>2361</v>
      </c>
      <c r="R495" t="str">
        <f>HYPERLINK("https://docs.wto.org/imrd/directdoc.asp?DDFDocuments/t/G/TBTN23/USA1983A4.docx", "https://docs.wto.org/imrd/directdoc.asp?DDFDocuments/t/G/TBTN23/USA1983A4.docx")</f>
        <v>https://docs.wto.org/imrd/directdoc.asp?DDFDocuments/t/G/TBTN23/USA1983A4.docx</v>
      </c>
      <c r="S495" t="str">
        <f>HYPERLINK("https://docs.wto.org/imrd/directdoc.asp?DDFDocuments/u/G/TBTN23/USA1983A4.docx", "https://docs.wto.org/imrd/directdoc.asp?DDFDocuments/u/G/TBTN23/USA1983A4.docx")</f>
        <v>https://docs.wto.org/imrd/directdoc.asp?DDFDocuments/u/G/TBTN23/USA1983A4.docx</v>
      </c>
      <c r="T495" t="str">
        <f>HYPERLINK("https://docs.wto.org/imrd/directdoc.asp?DDFDocuments/v/G/TBTN23/USA1983A4.docx", "https://docs.wto.org/imrd/directdoc.asp?DDFDocuments/v/G/TBTN23/USA1983A4.docx")</f>
        <v>https://docs.wto.org/imrd/directdoc.asp?DDFDocuments/v/G/TBTN23/USA1983A4.docx</v>
      </c>
      <c r="U495" t="s">
        <v>64</v>
      </c>
      <c r="V495" t="s">
        <v>46</v>
      </c>
      <c r="W495" t="s">
        <v>64</v>
      </c>
      <c r="X495" t="s">
        <v>46</v>
      </c>
      <c r="Y495" t="s">
        <v>46</v>
      </c>
      <c r="Z495" t="s">
        <v>46</v>
      </c>
      <c r="AA495" t="s">
        <v>46</v>
      </c>
      <c r="AB495" s="2" t="s">
        <v>43</v>
      </c>
      <c r="AC495" t="s">
        <v>43</v>
      </c>
      <c r="AD495" t="s">
        <v>43</v>
      </c>
      <c r="AE495" t="s">
        <v>43</v>
      </c>
      <c r="AF495" t="s">
        <v>43</v>
      </c>
      <c r="AG495" t="s">
        <v>43</v>
      </c>
      <c r="AH495" s="2" t="s">
        <v>43</v>
      </c>
    </row>
    <row r="496" spans="1:34" ht="180">
      <c r="A496" s="6" t="s">
        <v>132</v>
      </c>
      <c r="B496" s="7">
        <v>46073</v>
      </c>
      <c r="C496" s="9" t="str">
        <f>HYPERLINK("https://eping.wto.org/en/Search?viewData= G/SPS/N/USA/3551"," G/SPS/N/USA/3551")</f>
        <v xml:space="preserve"> G/SPS/N/USA/3551</v>
      </c>
      <c r="D496" s="8" t="s">
        <v>2362</v>
      </c>
      <c r="E496" s="8" t="s">
        <v>2363</v>
      </c>
      <c r="F496" s="8" t="s">
        <v>2307</v>
      </c>
      <c r="G496" s="8" t="s">
        <v>43</v>
      </c>
      <c r="H496" s="8" t="s">
        <v>43</v>
      </c>
      <c r="I496" s="8" t="s">
        <v>58</v>
      </c>
      <c r="J496" s="8" t="s">
        <v>43</v>
      </c>
      <c r="K496" s="8" t="s">
        <v>310</v>
      </c>
      <c r="L496" s="6"/>
      <c r="M496" s="7">
        <v>46072</v>
      </c>
      <c r="N496" s="7">
        <v>46072</v>
      </c>
      <c r="O496" s="7">
        <v>46072</v>
      </c>
      <c r="P496" s="6" t="s">
        <v>62</v>
      </c>
      <c r="Q496" s="8" t="s">
        <v>2364</v>
      </c>
      <c r="R496" t="str">
        <f>HYPERLINK("https://docs.wto.org/imrd/directdoc.asp?DDFDocuments/t/G/SPS/NUSA3551.docx", "https://docs.wto.org/imrd/directdoc.asp?DDFDocuments/t/G/SPS/NUSA3551.docx")</f>
        <v>https://docs.wto.org/imrd/directdoc.asp?DDFDocuments/t/G/SPS/NUSA3551.docx</v>
      </c>
      <c r="S496" t="str">
        <f>HYPERLINK("https://docs.wto.org/imrd/directdoc.asp?DDFDocuments/u/G/SPS/NUSA3551.docx", "https://docs.wto.org/imrd/directdoc.asp?DDFDocuments/u/G/SPS/NUSA3551.docx")</f>
        <v>https://docs.wto.org/imrd/directdoc.asp?DDFDocuments/u/G/SPS/NUSA3551.docx</v>
      </c>
      <c r="T496" t="str">
        <f>HYPERLINK("https://docs.wto.org/imrd/directdoc.asp?DDFDocuments/v/G/SPS/NUSA3551.docx", "https://docs.wto.org/imrd/directdoc.asp?DDFDocuments/v/G/SPS/NUSA3551.docx")</f>
        <v>https://docs.wto.org/imrd/directdoc.asp?DDFDocuments/v/G/SPS/NUSA3551.docx</v>
      </c>
      <c r="U496" t="s">
        <v>43</v>
      </c>
      <c r="V496" t="s">
        <v>43</v>
      </c>
      <c r="W496" t="s">
        <v>43</v>
      </c>
      <c r="X496" t="s">
        <v>43</v>
      </c>
      <c r="Y496" t="s">
        <v>43</v>
      </c>
      <c r="Z496" t="s">
        <v>43</v>
      </c>
      <c r="AA496" t="s">
        <v>43</v>
      </c>
      <c r="AB496" s="2" t="s">
        <v>43</v>
      </c>
      <c r="AC496" t="s">
        <v>46</v>
      </c>
      <c r="AD496" t="s">
        <v>46</v>
      </c>
      <c r="AE496" t="s">
        <v>46</v>
      </c>
      <c r="AF496" t="s">
        <v>64</v>
      </c>
      <c r="AG496" t="s">
        <v>99</v>
      </c>
      <c r="AH496" s="2" t="s">
        <v>43</v>
      </c>
    </row>
    <row r="497" spans="1:34" ht="285">
      <c r="A497" s="6" t="s">
        <v>132</v>
      </c>
      <c r="B497" s="7">
        <v>46073</v>
      </c>
      <c r="C497" s="9" t="str">
        <f>HYPERLINK("https://eping.wto.org/en/Search?viewData= G/TBT/N/USA/2213/Add.1"," G/TBT/N/USA/2213/Add.1")</f>
        <v xml:space="preserve"> G/TBT/N/USA/2213/Add.1</v>
      </c>
      <c r="D497" s="8" t="s">
        <v>2365</v>
      </c>
      <c r="E497" s="8" t="s">
        <v>2366</v>
      </c>
      <c r="F497" s="8" t="s">
        <v>2367</v>
      </c>
      <c r="G497" s="8" t="s">
        <v>43</v>
      </c>
      <c r="H497" s="8" t="s">
        <v>2368</v>
      </c>
      <c r="I497" s="8" t="s">
        <v>322</v>
      </c>
      <c r="J497" s="8" t="s">
        <v>43</v>
      </c>
      <c r="K497" s="8" t="s">
        <v>43</v>
      </c>
      <c r="L497" s="6"/>
      <c r="M497" s="7" t="s">
        <v>43</v>
      </c>
      <c r="N497" s="7"/>
      <c r="O497" s="7"/>
      <c r="P497" s="6" t="s">
        <v>44</v>
      </c>
      <c r="Q497" s="8" t="s">
        <v>2369</v>
      </c>
      <c r="R497" t="str">
        <f>HYPERLINK("https://docs.wto.org/imrd/directdoc.asp?DDFDocuments/t/G/TBTN25/USA2213A1.docx", "https://docs.wto.org/imrd/directdoc.asp?DDFDocuments/t/G/TBTN25/USA2213A1.docx")</f>
        <v>https://docs.wto.org/imrd/directdoc.asp?DDFDocuments/t/G/TBTN25/USA2213A1.docx</v>
      </c>
      <c r="S497" t="str">
        <f>HYPERLINK("https://docs.wto.org/imrd/directdoc.asp?DDFDocuments/u/G/TBTN25/USA2213A1.docx", "https://docs.wto.org/imrd/directdoc.asp?DDFDocuments/u/G/TBTN25/USA2213A1.docx")</f>
        <v>https://docs.wto.org/imrd/directdoc.asp?DDFDocuments/u/G/TBTN25/USA2213A1.docx</v>
      </c>
      <c r="T497" t="str">
        <f>HYPERLINK("https://docs.wto.org/imrd/directdoc.asp?DDFDocuments/v/G/TBTN25/USA2213A1.docx", "https://docs.wto.org/imrd/directdoc.asp?DDFDocuments/v/G/TBTN25/USA2213A1.docx")</f>
        <v>https://docs.wto.org/imrd/directdoc.asp?DDFDocuments/v/G/TBTN25/USA2213A1.docx</v>
      </c>
      <c r="U497" t="s">
        <v>64</v>
      </c>
      <c r="V497" t="s">
        <v>46</v>
      </c>
      <c r="W497" t="s">
        <v>46</v>
      </c>
      <c r="X497" t="s">
        <v>46</v>
      </c>
      <c r="Y497" t="s">
        <v>46</v>
      </c>
      <c r="Z497" t="s">
        <v>46</v>
      </c>
      <c r="AA497" t="s">
        <v>46</v>
      </c>
      <c r="AB497" s="2" t="s">
        <v>43</v>
      </c>
      <c r="AC497" t="s">
        <v>43</v>
      </c>
      <c r="AD497" t="s">
        <v>43</v>
      </c>
      <c r="AE497" t="s">
        <v>43</v>
      </c>
      <c r="AF497" t="s">
        <v>43</v>
      </c>
      <c r="AG497" t="s">
        <v>43</v>
      </c>
      <c r="AH497" s="2" t="s">
        <v>43</v>
      </c>
    </row>
    <row r="498" spans="1:34" ht="300">
      <c r="A498" s="6" t="s">
        <v>132</v>
      </c>
      <c r="B498" s="7">
        <v>46073</v>
      </c>
      <c r="C498" s="9" t="str">
        <f>HYPERLINK("https://eping.wto.org/en/Search?viewData= G/TBT/N/USA/2215/Add.1"," G/TBT/N/USA/2215/Add.1")</f>
        <v xml:space="preserve"> G/TBT/N/USA/2215/Add.1</v>
      </c>
      <c r="D498" s="8" t="s">
        <v>2370</v>
      </c>
      <c r="E498" s="8" t="s">
        <v>2371</v>
      </c>
      <c r="F498" s="8" t="s">
        <v>2372</v>
      </c>
      <c r="G498" s="8" t="s">
        <v>43</v>
      </c>
      <c r="H498" s="8" t="s">
        <v>2373</v>
      </c>
      <c r="I498" s="8" t="s">
        <v>322</v>
      </c>
      <c r="J498" s="8" t="s">
        <v>43</v>
      </c>
      <c r="K498" s="8" t="s">
        <v>43</v>
      </c>
      <c r="L498" s="6"/>
      <c r="M498" s="7" t="s">
        <v>43</v>
      </c>
      <c r="N498" s="7"/>
      <c r="O498" s="7"/>
      <c r="P498" s="6" t="s">
        <v>44</v>
      </c>
      <c r="Q498" s="8" t="s">
        <v>2374</v>
      </c>
      <c r="R498" t="str">
        <f>HYPERLINK("https://docs.wto.org/imrd/directdoc.asp?DDFDocuments/t/G/TBTN25/USA2215A1.docx", "https://docs.wto.org/imrd/directdoc.asp?DDFDocuments/t/G/TBTN25/USA2215A1.docx")</f>
        <v>https://docs.wto.org/imrd/directdoc.asp?DDFDocuments/t/G/TBTN25/USA2215A1.docx</v>
      </c>
      <c r="S498" t="str">
        <f>HYPERLINK("https://docs.wto.org/imrd/directdoc.asp?DDFDocuments/u/G/TBTN25/USA2215A1.docx", "https://docs.wto.org/imrd/directdoc.asp?DDFDocuments/u/G/TBTN25/USA2215A1.docx")</f>
        <v>https://docs.wto.org/imrd/directdoc.asp?DDFDocuments/u/G/TBTN25/USA2215A1.docx</v>
      </c>
      <c r="T498" t="str">
        <f>HYPERLINK("https://docs.wto.org/imrd/directdoc.asp?DDFDocuments/v/G/TBTN25/USA2215A1.docx", "https://docs.wto.org/imrd/directdoc.asp?DDFDocuments/v/G/TBTN25/USA2215A1.docx")</f>
        <v>https://docs.wto.org/imrd/directdoc.asp?DDFDocuments/v/G/TBTN25/USA2215A1.docx</v>
      </c>
      <c r="U498" t="s">
        <v>64</v>
      </c>
      <c r="V498" t="s">
        <v>46</v>
      </c>
      <c r="W498" t="s">
        <v>46</v>
      </c>
      <c r="X498" t="s">
        <v>46</v>
      </c>
      <c r="Y498" t="s">
        <v>46</v>
      </c>
      <c r="Z498" t="s">
        <v>46</v>
      </c>
      <c r="AA498" t="s">
        <v>46</v>
      </c>
      <c r="AB498" s="2" t="s">
        <v>43</v>
      </c>
      <c r="AC498" t="s">
        <v>43</v>
      </c>
      <c r="AD498" t="s">
        <v>43</v>
      </c>
      <c r="AE498" t="s">
        <v>43</v>
      </c>
      <c r="AF498" t="s">
        <v>43</v>
      </c>
      <c r="AG498" t="s">
        <v>43</v>
      </c>
      <c r="AH498" s="2" t="s">
        <v>43</v>
      </c>
    </row>
    <row r="499" spans="1:34" ht="90">
      <c r="A499" s="6" t="s">
        <v>1328</v>
      </c>
      <c r="B499" s="7">
        <v>46073</v>
      </c>
      <c r="C499" s="9" t="str">
        <f>HYPERLINK("https://eping.wto.org/en/Search?viewData= G/TBT/N/PHL/356"," G/TBT/N/PHL/356")</f>
        <v xml:space="preserve"> G/TBT/N/PHL/356</v>
      </c>
      <c r="D499" s="8" t="s">
        <v>2375</v>
      </c>
      <c r="E499" s="8" t="s">
        <v>2376</v>
      </c>
      <c r="F499" s="8" t="s">
        <v>2377</v>
      </c>
      <c r="G499" s="8" t="s">
        <v>43</v>
      </c>
      <c r="H499" s="8" t="s">
        <v>2378</v>
      </c>
      <c r="I499" s="8" t="s">
        <v>275</v>
      </c>
      <c r="J499" s="8" t="s">
        <v>43</v>
      </c>
      <c r="K499" s="8" t="s">
        <v>240</v>
      </c>
      <c r="L499" s="6"/>
      <c r="M499" s="7">
        <v>46133</v>
      </c>
      <c r="N499" s="7" t="s">
        <v>79</v>
      </c>
      <c r="O499" s="7" t="s">
        <v>79</v>
      </c>
      <c r="P499" s="6" t="s">
        <v>62</v>
      </c>
      <c r="Q499" s="8" t="s">
        <v>2379</v>
      </c>
      <c r="R499" t="str">
        <f>HYPERLINK("https://docs.wto.org/imrd/directdoc.asp?DDFDocuments/t/G/TBTN26/PHL356.docx", "https://docs.wto.org/imrd/directdoc.asp?DDFDocuments/t/G/TBTN26/PHL356.docx")</f>
        <v>https://docs.wto.org/imrd/directdoc.asp?DDFDocuments/t/G/TBTN26/PHL356.docx</v>
      </c>
      <c r="S499" t="str">
        <f>HYPERLINK("https://docs.wto.org/imrd/directdoc.asp?DDFDocuments/u/G/TBTN26/PHL356.docx", "https://docs.wto.org/imrd/directdoc.asp?DDFDocuments/u/G/TBTN26/PHL356.docx")</f>
        <v>https://docs.wto.org/imrd/directdoc.asp?DDFDocuments/u/G/TBTN26/PHL356.docx</v>
      </c>
      <c r="T499" t="str">
        <f>HYPERLINK("https://docs.wto.org/imrd/directdoc.asp?DDFDocuments/v/G/TBTN26/PHL356.docx", "https://docs.wto.org/imrd/directdoc.asp?DDFDocuments/v/G/TBTN26/PHL356.docx")</f>
        <v>https://docs.wto.org/imrd/directdoc.asp?DDFDocuments/v/G/TBTN26/PHL356.docx</v>
      </c>
      <c r="U499" t="s">
        <v>64</v>
      </c>
      <c r="V499" t="s">
        <v>46</v>
      </c>
      <c r="W499" t="s">
        <v>46</v>
      </c>
      <c r="X499" t="s">
        <v>46</v>
      </c>
      <c r="Y499" t="s">
        <v>46</v>
      </c>
      <c r="Z499" t="s">
        <v>46</v>
      </c>
      <c r="AA499" t="s">
        <v>46</v>
      </c>
      <c r="AB499" s="2" t="s">
        <v>43</v>
      </c>
      <c r="AC499" t="s">
        <v>43</v>
      </c>
      <c r="AD499" t="s">
        <v>43</v>
      </c>
      <c r="AE499" t="s">
        <v>43</v>
      </c>
      <c r="AF499" t="s">
        <v>43</v>
      </c>
      <c r="AG499" t="s">
        <v>43</v>
      </c>
      <c r="AH499" s="2" t="s">
        <v>43</v>
      </c>
    </row>
    <row r="500" spans="1:34" ht="285">
      <c r="A500" s="6" t="s">
        <v>132</v>
      </c>
      <c r="B500" s="7">
        <v>46073</v>
      </c>
      <c r="C500" s="9" t="str">
        <f>HYPERLINK("https://eping.wto.org/en/Search?viewData= G/TBT/N/USA/2210/Add.1"," G/TBT/N/USA/2210/Add.1")</f>
        <v xml:space="preserve"> G/TBT/N/USA/2210/Add.1</v>
      </c>
      <c r="D500" s="8" t="s">
        <v>2380</v>
      </c>
      <c r="E500" s="8" t="s">
        <v>2381</v>
      </c>
      <c r="F500" s="8" t="s">
        <v>2382</v>
      </c>
      <c r="G500" s="8" t="s">
        <v>43</v>
      </c>
      <c r="H500" s="8" t="s">
        <v>2383</v>
      </c>
      <c r="I500" s="8" t="s">
        <v>2292</v>
      </c>
      <c r="J500" s="8" t="s">
        <v>43</v>
      </c>
      <c r="K500" s="8" t="s">
        <v>43</v>
      </c>
      <c r="L500" s="6"/>
      <c r="M500" s="7" t="s">
        <v>43</v>
      </c>
      <c r="N500" s="7"/>
      <c r="O500" s="7"/>
      <c r="P500" s="6" t="s">
        <v>44</v>
      </c>
      <c r="Q500" s="8" t="s">
        <v>2384</v>
      </c>
      <c r="R500" t="str">
        <f>HYPERLINK("https://docs.wto.org/imrd/directdoc.asp?DDFDocuments/t/G/TBTN25/USA2210A1.docx", "https://docs.wto.org/imrd/directdoc.asp?DDFDocuments/t/G/TBTN25/USA2210A1.docx")</f>
        <v>https://docs.wto.org/imrd/directdoc.asp?DDFDocuments/t/G/TBTN25/USA2210A1.docx</v>
      </c>
      <c r="S500" t="str">
        <f>HYPERLINK("https://docs.wto.org/imrd/directdoc.asp?DDFDocuments/u/G/TBTN25/USA2210A1.docx", "https://docs.wto.org/imrd/directdoc.asp?DDFDocuments/u/G/TBTN25/USA2210A1.docx")</f>
        <v>https://docs.wto.org/imrd/directdoc.asp?DDFDocuments/u/G/TBTN25/USA2210A1.docx</v>
      </c>
      <c r="T500" t="str">
        <f>HYPERLINK("https://docs.wto.org/imrd/directdoc.asp?DDFDocuments/v/G/TBTN25/USA2210A1.docx", "https://docs.wto.org/imrd/directdoc.asp?DDFDocuments/v/G/TBTN25/USA2210A1.docx")</f>
        <v>https://docs.wto.org/imrd/directdoc.asp?DDFDocuments/v/G/TBTN25/USA2210A1.docx</v>
      </c>
      <c r="U500" t="s">
        <v>64</v>
      </c>
      <c r="V500" t="s">
        <v>46</v>
      </c>
      <c r="W500" t="s">
        <v>46</v>
      </c>
      <c r="X500" t="s">
        <v>46</v>
      </c>
      <c r="Y500" t="s">
        <v>46</v>
      </c>
      <c r="Z500" t="s">
        <v>46</v>
      </c>
      <c r="AA500" t="s">
        <v>46</v>
      </c>
      <c r="AB500" s="2" t="s">
        <v>43</v>
      </c>
      <c r="AC500" t="s">
        <v>43</v>
      </c>
      <c r="AD500" t="s">
        <v>43</v>
      </c>
      <c r="AE500" t="s">
        <v>43</v>
      </c>
      <c r="AF500" t="s">
        <v>43</v>
      </c>
      <c r="AG500" t="s">
        <v>43</v>
      </c>
      <c r="AH500" s="2" t="s">
        <v>43</v>
      </c>
    </row>
    <row r="501" spans="1:34" ht="60">
      <c r="A501" s="6" t="s">
        <v>209</v>
      </c>
      <c r="B501" s="7">
        <v>46073</v>
      </c>
      <c r="C501" s="9" t="str">
        <f>HYPERLINK("https://eping.wto.org/en/Search?viewData= G/SPS/N/RUS/349"," G/SPS/N/RUS/349")</f>
        <v xml:space="preserve"> G/SPS/N/RUS/349</v>
      </c>
      <c r="D501" s="8" t="s">
        <v>1604</v>
      </c>
      <c r="E501" s="8" t="s">
        <v>2385</v>
      </c>
      <c r="F501" s="8" t="s">
        <v>1606</v>
      </c>
      <c r="G501" s="8" t="s">
        <v>43</v>
      </c>
      <c r="H501" s="8" t="s">
        <v>43</v>
      </c>
      <c r="I501" s="8" t="s">
        <v>104</v>
      </c>
      <c r="J501" s="8" t="s">
        <v>43</v>
      </c>
      <c r="K501" s="8" t="s">
        <v>493</v>
      </c>
      <c r="L501" s="6" t="s">
        <v>43</v>
      </c>
      <c r="M501" s="7">
        <v>46122</v>
      </c>
      <c r="N501" s="7" t="s">
        <v>304</v>
      </c>
      <c r="O501" s="7" t="s">
        <v>304</v>
      </c>
      <c r="P501" s="6" t="s">
        <v>62</v>
      </c>
      <c r="Q501" s="8" t="s">
        <v>2386</v>
      </c>
      <c r="R501" t="str">
        <f>HYPERLINK("https://docs.wto.org/imrd/directdoc.asp?DDFDocuments/t/G/SPS/NRUS349.docx", "https://docs.wto.org/imrd/directdoc.asp?DDFDocuments/t/G/SPS/NRUS349.docx")</f>
        <v>https://docs.wto.org/imrd/directdoc.asp?DDFDocuments/t/G/SPS/NRUS349.docx</v>
      </c>
      <c r="S501" t="str">
        <f>HYPERLINK("https://docs.wto.org/imrd/directdoc.asp?DDFDocuments/u/G/SPS/NRUS349.docx", "https://docs.wto.org/imrd/directdoc.asp?DDFDocuments/u/G/SPS/NRUS349.docx")</f>
        <v>https://docs.wto.org/imrd/directdoc.asp?DDFDocuments/u/G/SPS/NRUS349.docx</v>
      </c>
      <c r="T501" t="str">
        <f>HYPERLINK("https://docs.wto.org/imrd/directdoc.asp?DDFDocuments/v/G/SPS/NRUS349.docx", "https://docs.wto.org/imrd/directdoc.asp?DDFDocuments/v/G/SPS/NRUS349.docx")</f>
        <v>https://docs.wto.org/imrd/directdoc.asp?DDFDocuments/v/G/SPS/NRUS349.docx</v>
      </c>
      <c r="U501" t="s">
        <v>43</v>
      </c>
      <c r="V501" t="s">
        <v>43</v>
      </c>
      <c r="W501" t="s">
        <v>43</v>
      </c>
      <c r="X501" t="s">
        <v>43</v>
      </c>
      <c r="Y501" t="s">
        <v>43</v>
      </c>
      <c r="Z501" t="s">
        <v>43</v>
      </c>
      <c r="AA501" t="s">
        <v>43</v>
      </c>
      <c r="AB501" s="2" t="s">
        <v>43</v>
      </c>
      <c r="AC501" t="s">
        <v>46</v>
      </c>
      <c r="AD501" t="s">
        <v>64</v>
      </c>
      <c r="AE501" t="s">
        <v>46</v>
      </c>
      <c r="AF501" t="s">
        <v>46</v>
      </c>
      <c r="AG501" t="s">
        <v>64</v>
      </c>
      <c r="AH501" s="2" t="s">
        <v>43</v>
      </c>
    </row>
    <row r="502" spans="1:34" ht="210">
      <c r="A502" s="6" t="s">
        <v>132</v>
      </c>
      <c r="B502" s="7">
        <v>46072</v>
      </c>
      <c r="C502" s="9" t="str">
        <f>HYPERLINK("https://eping.wto.org/en/Search?viewData= G/TBT/N/USA/2062/Add.8"," G/TBT/N/USA/2062/Add.8")</f>
        <v xml:space="preserve"> G/TBT/N/USA/2062/Add.8</v>
      </c>
      <c r="D502" s="8" t="s">
        <v>2387</v>
      </c>
      <c r="E502" s="8" t="s">
        <v>2388</v>
      </c>
      <c r="F502" s="8" t="s">
        <v>2389</v>
      </c>
      <c r="G502" s="8" t="s">
        <v>43</v>
      </c>
      <c r="H502" s="8" t="s">
        <v>2390</v>
      </c>
      <c r="I502" s="8" t="s">
        <v>137</v>
      </c>
      <c r="J502" s="8" t="s">
        <v>43</v>
      </c>
      <c r="K502" s="8" t="s">
        <v>43</v>
      </c>
      <c r="L502" s="6"/>
      <c r="M502" s="7" t="s">
        <v>43</v>
      </c>
      <c r="N502" s="7"/>
      <c r="O502" s="7"/>
      <c r="P502" s="6" t="s">
        <v>44</v>
      </c>
      <c r="Q502" s="8" t="s">
        <v>2391</v>
      </c>
      <c r="R502" t="str">
        <f>HYPERLINK("https://docs.wto.org/imrd/directdoc.asp?DDFDocuments/t/G/TBTN23/USA2062A8.docx", "https://docs.wto.org/imrd/directdoc.asp?DDFDocuments/t/G/TBTN23/USA2062A8.docx")</f>
        <v>https://docs.wto.org/imrd/directdoc.asp?DDFDocuments/t/G/TBTN23/USA2062A8.docx</v>
      </c>
      <c r="S502" t="str">
        <f>HYPERLINK("https://docs.wto.org/imrd/directdoc.asp?DDFDocuments/u/G/TBTN23/USA2062A8.docx", "https://docs.wto.org/imrd/directdoc.asp?DDFDocuments/u/G/TBTN23/USA2062A8.docx")</f>
        <v>https://docs.wto.org/imrd/directdoc.asp?DDFDocuments/u/G/TBTN23/USA2062A8.docx</v>
      </c>
      <c r="T502" t="str">
        <f>HYPERLINK("https://docs.wto.org/imrd/directdoc.asp?DDFDocuments/v/G/TBTN23/USA2062A8.docx", "https://docs.wto.org/imrd/directdoc.asp?DDFDocuments/v/G/TBTN23/USA2062A8.docx")</f>
        <v>https://docs.wto.org/imrd/directdoc.asp?DDFDocuments/v/G/TBTN23/USA2062A8.docx</v>
      </c>
      <c r="U502" t="s">
        <v>64</v>
      </c>
      <c r="V502" t="s">
        <v>46</v>
      </c>
      <c r="W502" t="s">
        <v>46</v>
      </c>
      <c r="X502" t="s">
        <v>46</v>
      </c>
      <c r="Y502" t="s">
        <v>46</v>
      </c>
      <c r="Z502" t="s">
        <v>46</v>
      </c>
      <c r="AA502" t="s">
        <v>46</v>
      </c>
      <c r="AB502" s="2" t="s">
        <v>43</v>
      </c>
      <c r="AC502" t="s">
        <v>43</v>
      </c>
      <c r="AD502" t="s">
        <v>43</v>
      </c>
      <c r="AE502" t="s">
        <v>43</v>
      </c>
      <c r="AF502" t="s">
        <v>43</v>
      </c>
      <c r="AG502" t="s">
        <v>43</v>
      </c>
      <c r="AH502" s="2" t="s">
        <v>43</v>
      </c>
    </row>
    <row r="503" spans="1:34" ht="60">
      <c r="A503" s="6" t="s">
        <v>1328</v>
      </c>
      <c r="B503" s="7">
        <v>46072</v>
      </c>
      <c r="C503" s="9" t="str">
        <f>HYPERLINK("https://eping.wto.org/en/Search?viewData= G/TBT/N/PHL/338/Add.2"," G/TBT/N/PHL/338/Add.2")</f>
        <v xml:space="preserve"> G/TBT/N/PHL/338/Add.2</v>
      </c>
      <c r="D503" s="8" t="s">
        <v>2392</v>
      </c>
      <c r="E503" s="8" t="s">
        <v>43</v>
      </c>
      <c r="F503" s="8" t="s">
        <v>2393</v>
      </c>
      <c r="G503" s="8" t="s">
        <v>43</v>
      </c>
      <c r="H503" s="8" t="s">
        <v>2394</v>
      </c>
      <c r="I503" s="8" t="s">
        <v>1850</v>
      </c>
      <c r="J503" s="8" t="s">
        <v>2395</v>
      </c>
      <c r="K503" s="8" t="s">
        <v>43</v>
      </c>
      <c r="L503" s="6"/>
      <c r="M503" s="7" t="s">
        <v>43</v>
      </c>
      <c r="N503" s="7"/>
      <c r="O503" s="7"/>
      <c r="P503" s="6" t="s">
        <v>44</v>
      </c>
      <c r="Q503" s="8" t="s">
        <v>2396</v>
      </c>
      <c r="R503" t="str">
        <f>HYPERLINK("https://docs.wto.org/imrd/directdoc.asp?DDFDocuments/t/G/TBTN24/PHL338A2.docx", "https://docs.wto.org/imrd/directdoc.asp?DDFDocuments/t/G/TBTN24/PHL338A2.docx")</f>
        <v>https://docs.wto.org/imrd/directdoc.asp?DDFDocuments/t/G/TBTN24/PHL338A2.docx</v>
      </c>
      <c r="S503" t="str">
        <f>HYPERLINK("https://docs.wto.org/imrd/directdoc.asp?DDFDocuments/u/G/TBTN24/PHL338A2.docx", "https://docs.wto.org/imrd/directdoc.asp?DDFDocuments/u/G/TBTN24/PHL338A2.docx")</f>
        <v>https://docs.wto.org/imrd/directdoc.asp?DDFDocuments/u/G/TBTN24/PHL338A2.docx</v>
      </c>
      <c r="T503" t="str">
        <f>HYPERLINK("https://docs.wto.org/imrd/directdoc.asp?DDFDocuments/v/G/TBTN24/PHL338A2.docx", "https://docs.wto.org/imrd/directdoc.asp?DDFDocuments/v/G/TBTN24/PHL338A2.docx")</f>
        <v>https://docs.wto.org/imrd/directdoc.asp?DDFDocuments/v/G/TBTN24/PHL338A2.docx</v>
      </c>
      <c r="U503" t="s">
        <v>64</v>
      </c>
      <c r="V503" t="s">
        <v>46</v>
      </c>
      <c r="W503" t="s">
        <v>46</v>
      </c>
      <c r="X503" t="s">
        <v>46</v>
      </c>
      <c r="Y503" t="s">
        <v>46</v>
      </c>
      <c r="Z503" t="s">
        <v>46</v>
      </c>
      <c r="AA503" t="s">
        <v>46</v>
      </c>
      <c r="AB503" s="2" t="s">
        <v>43</v>
      </c>
      <c r="AC503" t="s">
        <v>43</v>
      </c>
      <c r="AD503" t="s">
        <v>43</v>
      </c>
      <c r="AE503" t="s">
        <v>43</v>
      </c>
      <c r="AF503" t="s">
        <v>43</v>
      </c>
      <c r="AG503" t="s">
        <v>43</v>
      </c>
      <c r="AH503" s="2" t="s">
        <v>43</v>
      </c>
    </row>
    <row r="504" spans="1:34" ht="30">
      <c r="A504" s="6" t="s">
        <v>756</v>
      </c>
      <c r="B504" s="7">
        <v>46072</v>
      </c>
      <c r="C504" s="9" t="str">
        <f>HYPERLINK("https://eping.wto.org/en/Search?viewData= G/SPS/N/PER/1111"," G/SPS/N/PER/1111")</f>
        <v xml:space="preserve"> G/SPS/N/PER/1111</v>
      </c>
      <c r="D504" s="8" t="s">
        <v>2397</v>
      </c>
      <c r="E504" s="8" t="s">
        <v>2398</v>
      </c>
      <c r="F504" s="8" t="s">
        <v>2399</v>
      </c>
      <c r="G504" s="8" t="s">
        <v>43</v>
      </c>
      <c r="H504" s="8" t="s">
        <v>43</v>
      </c>
      <c r="I504" s="8" t="s">
        <v>254</v>
      </c>
      <c r="J504" s="8" t="s">
        <v>43</v>
      </c>
      <c r="K504" s="8" t="s">
        <v>255</v>
      </c>
      <c r="L504" s="6" t="s">
        <v>74</v>
      </c>
      <c r="M504" s="7" t="s">
        <v>43</v>
      </c>
      <c r="N504" s="7"/>
      <c r="O504" s="7">
        <v>46071</v>
      </c>
      <c r="P504" s="6" t="s">
        <v>107</v>
      </c>
      <c r="Q504" s="8" t="s">
        <v>2400</v>
      </c>
      <c r="R504" t="str">
        <f>HYPERLINK("https://docs.wto.org/imrd/directdoc.asp?DDFDocuments/t/G/SPS/NPER1111.docx", "https://docs.wto.org/imrd/directdoc.asp?DDFDocuments/t/G/SPS/NPER1111.docx")</f>
        <v>https://docs.wto.org/imrd/directdoc.asp?DDFDocuments/t/G/SPS/NPER1111.docx</v>
      </c>
      <c r="S504" t="str">
        <f>HYPERLINK("https://docs.wto.org/imrd/directdoc.asp?DDFDocuments/u/G/SPS/NPER1111.docx", "https://docs.wto.org/imrd/directdoc.asp?DDFDocuments/u/G/SPS/NPER1111.docx")</f>
        <v>https://docs.wto.org/imrd/directdoc.asp?DDFDocuments/u/G/SPS/NPER1111.docx</v>
      </c>
      <c r="T504" t="str">
        <f>HYPERLINK("https://docs.wto.org/imrd/directdoc.asp?DDFDocuments/v/G/SPS/NPER1111.docx", "https://docs.wto.org/imrd/directdoc.asp?DDFDocuments/v/G/SPS/NPER1111.docx")</f>
        <v>https://docs.wto.org/imrd/directdoc.asp?DDFDocuments/v/G/SPS/NPER1111.docx</v>
      </c>
      <c r="U504" t="s">
        <v>43</v>
      </c>
      <c r="V504" t="s">
        <v>43</v>
      </c>
      <c r="W504" t="s">
        <v>43</v>
      </c>
      <c r="X504" t="s">
        <v>43</v>
      </c>
      <c r="Y504" t="s">
        <v>43</v>
      </c>
      <c r="Z504" t="s">
        <v>43</v>
      </c>
      <c r="AA504" t="s">
        <v>43</v>
      </c>
      <c r="AB504" s="2" t="s">
        <v>43</v>
      </c>
      <c r="AC504" t="s">
        <v>46</v>
      </c>
      <c r="AD504" t="s">
        <v>46</v>
      </c>
      <c r="AE504" t="s">
        <v>64</v>
      </c>
      <c r="AF504" t="s">
        <v>46</v>
      </c>
      <c r="AG504" t="s">
        <v>64</v>
      </c>
      <c r="AH504" s="2" t="s">
        <v>43</v>
      </c>
    </row>
    <row r="505" spans="1:34" ht="75">
      <c r="A505" s="6" t="s">
        <v>122</v>
      </c>
      <c r="B505" s="7">
        <v>46072</v>
      </c>
      <c r="C505" s="9" t="str">
        <f>HYPERLINK("https://eping.wto.org/en/Search?viewData= G/TBT/N/TUR/225/Add.1"," G/TBT/N/TUR/225/Add.1")</f>
        <v xml:space="preserve"> G/TBT/N/TUR/225/Add.1</v>
      </c>
      <c r="D505" s="8" t="s">
        <v>2401</v>
      </c>
      <c r="E505" s="8" t="s">
        <v>2402</v>
      </c>
      <c r="F505" s="8" t="s">
        <v>2403</v>
      </c>
      <c r="G505" s="8" t="s">
        <v>43</v>
      </c>
      <c r="H505" s="8" t="s">
        <v>2404</v>
      </c>
      <c r="I505" s="8" t="s">
        <v>52</v>
      </c>
      <c r="J505" s="8" t="s">
        <v>2405</v>
      </c>
      <c r="K505" s="8" t="s">
        <v>1029</v>
      </c>
      <c r="L505" s="6"/>
      <c r="M505" s="7" t="s">
        <v>43</v>
      </c>
      <c r="N505" s="7"/>
      <c r="O505" s="7"/>
      <c r="P505" s="6" t="s">
        <v>44</v>
      </c>
      <c r="Q505" s="6"/>
      <c r="R505" t="str">
        <f>HYPERLINK("https://docs.wto.org/imrd/directdoc.asp?DDFDocuments/t/G/TBTN25/TUR225A1.docx", "https://docs.wto.org/imrd/directdoc.asp?DDFDocuments/t/G/TBTN25/TUR225A1.docx")</f>
        <v>https://docs.wto.org/imrd/directdoc.asp?DDFDocuments/t/G/TBTN25/TUR225A1.docx</v>
      </c>
      <c r="S505" t="str">
        <f>HYPERLINK("https://docs.wto.org/imrd/directdoc.asp?DDFDocuments/u/G/TBTN25/TUR225A1.docx", "https://docs.wto.org/imrd/directdoc.asp?DDFDocuments/u/G/TBTN25/TUR225A1.docx")</f>
        <v>https://docs.wto.org/imrd/directdoc.asp?DDFDocuments/u/G/TBTN25/TUR225A1.docx</v>
      </c>
      <c r="T505" t="str">
        <f>HYPERLINK("https://docs.wto.org/imrd/directdoc.asp?DDFDocuments/v/G/TBTN25/TUR225A1.docx", "https://docs.wto.org/imrd/directdoc.asp?DDFDocuments/v/G/TBTN25/TUR225A1.docx")</f>
        <v>https://docs.wto.org/imrd/directdoc.asp?DDFDocuments/v/G/TBTN25/TUR225A1.docx</v>
      </c>
      <c r="U505" t="s">
        <v>64</v>
      </c>
      <c r="V505" t="s">
        <v>46</v>
      </c>
      <c r="W505" t="s">
        <v>46</v>
      </c>
      <c r="X505" t="s">
        <v>46</v>
      </c>
      <c r="Y505" t="s">
        <v>46</v>
      </c>
      <c r="Z505" t="s">
        <v>46</v>
      </c>
      <c r="AA505" t="s">
        <v>46</v>
      </c>
      <c r="AB505" s="2" t="s">
        <v>43</v>
      </c>
      <c r="AC505" t="s">
        <v>43</v>
      </c>
      <c r="AD505" t="s">
        <v>43</v>
      </c>
      <c r="AE505" t="s">
        <v>43</v>
      </c>
      <c r="AF505" t="s">
        <v>43</v>
      </c>
      <c r="AG505" t="s">
        <v>43</v>
      </c>
      <c r="AH505" s="2" t="s">
        <v>43</v>
      </c>
    </row>
    <row r="506" spans="1:34" ht="225">
      <c r="A506" s="6" t="s">
        <v>158</v>
      </c>
      <c r="B506" s="7">
        <v>46072</v>
      </c>
      <c r="C506" s="9" t="str">
        <f>HYPERLINK("https://eping.wto.org/en/Search?viewData= G/TBT/N/UKR/370"," G/TBT/N/UKR/370")</f>
        <v xml:space="preserve"> G/TBT/N/UKR/370</v>
      </c>
      <c r="D506" s="8" t="s">
        <v>2406</v>
      </c>
      <c r="E506" s="8" t="s">
        <v>2407</v>
      </c>
      <c r="F506" s="8" t="s">
        <v>2408</v>
      </c>
      <c r="G506" s="8" t="s">
        <v>43</v>
      </c>
      <c r="H506" s="8" t="s">
        <v>2409</v>
      </c>
      <c r="I506" s="8" t="s">
        <v>2410</v>
      </c>
      <c r="J506" s="8" t="s">
        <v>43</v>
      </c>
      <c r="K506" s="8" t="s">
        <v>2411</v>
      </c>
      <c r="L506" s="6"/>
      <c r="M506" s="7">
        <v>46132</v>
      </c>
      <c r="N506" s="7" t="s">
        <v>79</v>
      </c>
      <c r="O506" s="7" t="s">
        <v>2412</v>
      </c>
      <c r="P506" s="6" t="s">
        <v>62</v>
      </c>
      <c r="Q506" s="8" t="s">
        <v>2413</v>
      </c>
      <c r="R506" t="str">
        <f>HYPERLINK("https://docs.wto.org/imrd/directdoc.asp?DDFDocuments/t/G/TBTN26/UKR370.docx", "https://docs.wto.org/imrd/directdoc.asp?DDFDocuments/t/G/TBTN26/UKR370.docx")</f>
        <v>https://docs.wto.org/imrd/directdoc.asp?DDFDocuments/t/G/TBTN26/UKR370.docx</v>
      </c>
      <c r="S506" t="str">
        <f>HYPERLINK("https://docs.wto.org/imrd/directdoc.asp?DDFDocuments/u/G/TBTN26/UKR370.docx", "https://docs.wto.org/imrd/directdoc.asp?DDFDocuments/u/G/TBTN26/UKR370.docx")</f>
        <v>https://docs.wto.org/imrd/directdoc.asp?DDFDocuments/u/G/TBTN26/UKR370.docx</v>
      </c>
      <c r="T506" t="str">
        <f>HYPERLINK("https://docs.wto.org/imrd/directdoc.asp?DDFDocuments/v/G/TBTN26/UKR370.docx", "https://docs.wto.org/imrd/directdoc.asp?DDFDocuments/v/G/TBTN26/UKR370.docx")</f>
        <v>https://docs.wto.org/imrd/directdoc.asp?DDFDocuments/v/G/TBTN26/UKR370.docx</v>
      </c>
      <c r="U506" t="s">
        <v>64</v>
      </c>
      <c r="V506" t="s">
        <v>46</v>
      </c>
      <c r="W506" t="s">
        <v>64</v>
      </c>
      <c r="X506" t="s">
        <v>46</v>
      </c>
      <c r="Y506" t="s">
        <v>46</v>
      </c>
      <c r="Z506" t="s">
        <v>46</v>
      </c>
      <c r="AA506" t="s">
        <v>46</v>
      </c>
      <c r="AB506" s="2" t="s">
        <v>2414</v>
      </c>
      <c r="AC506" t="s">
        <v>43</v>
      </c>
      <c r="AD506" t="s">
        <v>43</v>
      </c>
      <c r="AE506" t="s">
        <v>43</v>
      </c>
      <c r="AF506" t="s">
        <v>43</v>
      </c>
      <c r="AG506" t="s">
        <v>43</v>
      </c>
      <c r="AH506" s="2" t="s">
        <v>43</v>
      </c>
    </row>
    <row r="507" spans="1:34" ht="120">
      <c r="A507" s="6" t="s">
        <v>82</v>
      </c>
      <c r="B507" s="7">
        <v>46072</v>
      </c>
      <c r="C507" s="9" t="str">
        <f>HYPERLINK("https://eping.wto.org/en/Search?viewData= G/TBT/N/JPN/902"," G/TBT/N/JPN/902")</f>
        <v xml:space="preserve"> G/TBT/N/JPN/902</v>
      </c>
      <c r="D507" s="8" t="s">
        <v>2415</v>
      </c>
      <c r="E507" s="8" t="s">
        <v>2416</v>
      </c>
      <c r="F507" s="8" t="s">
        <v>2417</v>
      </c>
      <c r="G507" s="8" t="s">
        <v>2418</v>
      </c>
      <c r="H507" s="8" t="s">
        <v>2419</v>
      </c>
      <c r="I507" s="8" t="s">
        <v>2420</v>
      </c>
      <c r="J507" s="8" t="s">
        <v>2421</v>
      </c>
      <c r="K507" s="8" t="s">
        <v>350</v>
      </c>
      <c r="L507" s="6"/>
      <c r="M507" s="7" t="s">
        <v>43</v>
      </c>
      <c r="N507" s="7" t="s">
        <v>2422</v>
      </c>
      <c r="O507" s="7" t="s">
        <v>2423</v>
      </c>
      <c r="P507" s="6" t="s">
        <v>62</v>
      </c>
      <c r="Q507" s="8" t="s">
        <v>2424</v>
      </c>
      <c r="R507" t="str">
        <f>HYPERLINK("https://docs.wto.org/imrd/directdoc.asp?DDFDocuments/t/G/TBTN26/JPN902.docx", "https://docs.wto.org/imrd/directdoc.asp?DDFDocuments/t/G/TBTN26/JPN902.docx")</f>
        <v>https://docs.wto.org/imrd/directdoc.asp?DDFDocuments/t/G/TBTN26/JPN902.docx</v>
      </c>
      <c r="S507" t="str">
        <f>HYPERLINK("https://docs.wto.org/imrd/directdoc.asp?DDFDocuments/u/G/TBTN26/JPN902.docx", "https://docs.wto.org/imrd/directdoc.asp?DDFDocuments/u/G/TBTN26/JPN902.docx")</f>
        <v>https://docs.wto.org/imrd/directdoc.asp?DDFDocuments/u/G/TBTN26/JPN902.docx</v>
      </c>
      <c r="T507" t="str">
        <f>HYPERLINK("https://docs.wto.org/imrd/directdoc.asp?DDFDocuments/v/G/TBTN26/JPN902.docx", "https://docs.wto.org/imrd/directdoc.asp?DDFDocuments/v/G/TBTN26/JPN902.docx")</f>
        <v>https://docs.wto.org/imrd/directdoc.asp?DDFDocuments/v/G/TBTN26/JPN902.docx</v>
      </c>
      <c r="U507" t="s">
        <v>64</v>
      </c>
      <c r="V507" t="s">
        <v>46</v>
      </c>
      <c r="W507" t="s">
        <v>46</v>
      </c>
      <c r="X507" t="s">
        <v>46</v>
      </c>
      <c r="Y507" t="s">
        <v>46</v>
      </c>
      <c r="Z507" t="s">
        <v>46</v>
      </c>
      <c r="AA507" t="s">
        <v>46</v>
      </c>
      <c r="AB507" s="2" t="s">
        <v>2425</v>
      </c>
      <c r="AC507" t="s">
        <v>43</v>
      </c>
      <c r="AD507" t="s">
        <v>43</v>
      </c>
      <c r="AE507" t="s">
        <v>43</v>
      </c>
      <c r="AF507" t="s">
        <v>43</v>
      </c>
      <c r="AG507" t="s">
        <v>43</v>
      </c>
      <c r="AH507" s="2" t="s">
        <v>43</v>
      </c>
    </row>
    <row r="508" spans="1:34" ht="300">
      <c r="A508" s="6" t="s">
        <v>54</v>
      </c>
      <c r="B508" s="7">
        <v>46072</v>
      </c>
      <c r="C508" s="9" t="str">
        <f>HYPERLINK("https://eping.wto.org/en/Search?viewData= G/SPS/N/AUS/630"," G/SPS/N/AUS/630")</f>
        <v xml:space="preserve"> G/SPS/N/AUS/630</v>
      </c>
      <c r="D508" s="8" t="s">
        <v>2426</v>
      </c>
      <c r="E508" s="8" t="s">
        <v>2427</v>
      </c>
      <c r="F508" s="8" t="s">
        <v>2428</v>
      </c>
      <c r="G508" s="8" t="s">
        <v>43</v>
      </c>
      <c r="H508" s="8" t="s">
        <v>43</v>
      </c>
      <c r="I508" s="8" t="s">
        <v>58</v>
      </c>
      <c r="J508" s="8" t="s">
        <v>43</v>
      </c>
      <c r="K508" s="8" t="s">
        <v>310</v>
      </c>
      <c r="L508" s="6" t="s">
        <v>43</v>
      </c>
      <c r="M508" s="7">
        <v>46132</v>
      </c>
      <c r="N508" s="7">
        <v>46132</v>
      </c>
      <c r="O508" s="7">
        <v>46132</v>
      </c>
      <c r="P508" s="6" t="s">
        <v>62</v>
      </c>
      <c r="Q508" s="8" t="s">
        <v>2429</v>
      </c>
      <c r="R508" t="str">
        <f>HYPERLINK("https://docs.wto.org/imrd/directdoc.asp?DDFDocuments/t/G/SPS/NAUS630.docx", "https://docs.wto.org/imrd/directdoc.asp?DDFDocuments/t/G/SPS/NAUS630.docx")</f>
        <v>https://docs.wto.org/imrd/directdoc.asp?DDFDocuments/t/G/SPS/NAUS630.docx</v>
      </c>
      <c r="S508" t="str">
        <f>HYPERLINK("https://docs.wto.org/imrd/directdoc.asp?DDFDocuments/u/G/SPS/NAUS630.docx", "https://docs.wto.org/imrd/directdoc.asp?DDFDocuments/u/G/SPS/NAUS630.docx")</f>
        <v>https://docs.wto.org/imrd/directdoc.asp?DDFDocuments/u/G/SPS/NAUS630.docx</v>
      </c>
      <c r="T508" t="str">
        <f>HYPERLINK("https://docs.wto.org/imrd/directdoc.asp?DDFDocuments/v/G/SPS/NAUS630.docx", "https://docs.wto.org/imrd/directdoc.asp?DDFDocuments/v/G/SPS/NAUS630.docx")</f>
        <v>https://docs.wto.org/imrd/directdoc.asp?DDFDocuments/v/G/SPS/NAUS630.docx</v>
      </c>
      <c r="U508" t="s">
        <v>43</v>
      </c>
      <c r="V508" t="s">
        <v>43</v>
      </c>
      <c r="W508" t="s">
        <v>43</v>
      </c>
      <c r="X508" t="s">
        <v>43</v>
      </c>
      <c r="Y508" t="s">
        <v>43</v>
      </c>
      <c r="Z508" t="s">
        <v>43</v>
      </c>
      <c r="AA508" t="s">
        <v>43</v>
      </c>
      <c r="AB508" s="2" t="s">
        <v>43</v>
      </c>
      <c r="AC508" t="s">
        <v>64</v>
      </c>
      <c r="AD508" t="s">
        <v>46</v>
      </c>
      <c r="AE508" t="s">
        <v>46</v>
      </c>
      <c r="AF508" t="s">
        <v>46</v>
      </c>
      <c r="AG508" t="s">
        <v>64</v>
      </c>
      <c r="AH508" s="2" t="s">
        <v>43</v>
      </c>
    </row>
    <row r="509" spans="1:34" ht="225">
      <c r="A509" s="6" t="s">
        <v>2430</v>
      </c>
      <c r="B509" s="7">
        <v>46072</v>
      </c>
      <c r="C509" s="9" t="str">
        <f>HYPERLINK("https://eping.wto.org/en/Search?viewData= G/SPS/N/NIC/247/Corr.1"," G/SPS/N/NIC/247/Corr.1")</f>
        <v xml:space="preserve"> G/SPS/N/NIC/247/Corr.1</v>
      </c>
      <c r="D509" s="8" t="s">
        <v>2431</v>
      </c>
      <c r="E509" s="8" t="s">
        <v>2431</v>
      </c>
      <c r="F509" s="8" t="s">
        <v>2432</v>
      </c>
      <c r="G509" s="8" t="s">
        <v>43</v>
      </c>
      <c r="H509" s="8" t="s">
        <v>43</v>
      </c>
      <c r="I509" s="8" t="s">
        <v>2433</v>
      </c>
      <c r="J509" s="8" t="s">
        <v>43</v>
      </c>
      <c r="K509" s="8" t="s">
        <v>2434</v>
      </c>
      <c r="L509" s="6"/>
      <c r="M509" s="7" t="s">
        <v>43</v>
      </c>
      <c r="N509" s="7"/>
      <c r="O509" s="7"/>
      <c r="P509" s="6" t="s">
        <v>296</v>
      </c>
      <c r="Q509" s="8" t="s">
        <v>2435</v>
      </c>
      <c r="R509" t="str">
        <f>HYPERLINK("https://docs.wto.org/imrd/directdoc.asp?DDFDocuments/t/G/SPS/NNIC247C1.docx", "https://docs.wto.org/imrd/directdoc.asp?DDFDocuments/t/G/SPS/NNIC247C1.docx")</f>
        <v>https://docs.wto.org/imrd/directdoc.asp?DDFDocuments/t/G/SPS/NNIC247C1.docx</v>
      </c>
      <c r="S509" t="str">
        <f>HYPERLINK("https://docs.wto.org/imrd/directdoc.asp?DDFDocuments/u/G/SPS/NNIC247C1.docx", "https://docs.wto.org/imrd/directdoc.asp?DDFDocuments/u/G/SPS/NNIC247C1.docx")</f>
        <v>https://docs.wto.org/imrd/directdoc.asp?DDFDocuments/u/G/SPS/NNIC247C1.docx</v>
      </c>
      <c r="T509" t="str">
        <f>HYPERLINK("https://docs.wto.org/imrd/directdoc.asp?DDFDocuments/v/G/SPS/NNIC247C1.docx", "https://docs.wto.org/imrd/directdoc.asp?DDFDocuments/v/G/SPS/NNIC247C1.docx")</f>
        <v>https://docs.wto.org/imrd/directdoc.asp?DDFDocuments/v/G/SPS/NNIC247C1.docx</v>
      </c>
      <c r="U509" t="s">
        <v>43</v>
      </c>
      <c r="V509" t="s">
        <v>43</v>
      </c>
      <c r="W509" t="s">
        <v>43</v>
      </c>
      <c r="X509" t="s">
        <v>43</v>
      </c>
      <c r="Y509" t="s">
        <v>43</v>
      </c>
      <c r="Z509" t="s">
        <v>43</v>
      </c>
      <c r="AA509" t="s">
        <v>43</v>
      </c>
      <c r="AB509" s="2" t="s">
        <v>43</v>
      </c>
      <c r="AC509" t="s">
        <v>43</v>
      </c>
      <c r="AD509" t="s">
        <v>43</v>
      </c>
      <c r="AE509" t="s">
        <v>43</v>
      </c>
      <c r="AF509" t="s">
        <v>43</v>
      </c>
      <c r="AG509" t="s">
        <v>43</v>
      </c>
      <c r="AH509" s="2" t="s">
        <v>43</v>
      </c>
    </row>
    <row r="510" spans="1:34" ht="105">
      <c r="A510" s="6" t="s">
        <v>249</v>
      </c>
      <c r="B510" s="7">
        <v>46072</v>
      </c>
      <c r="C510" s="9" t="str">
        <f>HYPERLINK("https://eping.wto.org/en/Search?viewData= G/SPS/N/COL/415"," G/SPS/N/COL/415")</f>
        <v xml:space="preserve"> G/SPS/N/COL/415</v>
      </c>
      <c r="D510" s="8" t="s">
        <v>2436</v>
      </c>
      <c r="E510" s="8" t="s">
        <v>2437</v>
      </c>
      <c r="F510" s="8" t="s">
        <v>2438</v>
      </c>
      <c r="G510" s="8" t="s">
        <v>43</v>
      </c>
      <c r="H510" s="8" t="s">
        <v>43</v>
      </c>
      <c r="I510" s="8" t="s">
        <v>104</v>
      </c>
      <c r="J510" s="8" t="s">
        <v>43</v>
      </c>
      <c r="K510" s="8" t="s">
        <v>1511</v>
      </c>
      <c r="L510" s="6" t="s">
        <v>1684</v>
      </c>
      <c r="M510" s="7" t="s">
        <v>43</v>
      </c>
      <c r="N510" s="7"/>
      <c r="O510" s="7">
        <v>46071</v>
      </c>
      <c r="P510" s="6" t="s">
        <v>107</v>
      </c>
      <c r="Q510" s="8" t="s">
        <v>2439</v>
      </c>
      <c r="R510" t="str">
        <f>HYPERLINK("https://docs.wto.org/imrd/directdoc.asp?DDFDocuments/t/G/SPS/NCOL415.docx", "https://docs.wto.org/imrd/directdoc.asp?DDFDocuments/t/G/SPS/NCOL415.docx")</f>
        <v>https://docs.wto.org/imrd/directdoc.asp?DDFDocuments/t/G/SPS/NCOL415.docx</v>
      </c>
      <c r="S510" t="str">
        <f>HYPERLINK("https://docs.wto.org/imrd/directdoc.asp?DDFDocuments/u/G/SPS/NCOL415.docx", "https://docs.wto.org/imrd/directdoc.asp?DDFDocuments/u/G/SPS/NCOL415.docx")</f>
        <v>https://docs.wto.org/imrd/directdoc.asp?DDFDocuments/u/G/SPS/NCOL415.docx</v>
      </c>
      <c r="T510" t="str">
        <f>HYPERLINK("https://docs.wto.org/imrd/directdoc.asp?DDFDocuments/v/G/SPS/NCOL415.docx", "https://docs.wto.org/imrd/directdoc.asp?DDFDocuments/v/G/SPS/NCOL415.docx")</f>
        <v>https://docs.wto.org/imrd/directdoc.asp?DDFDocuments/v/G/SPS/NCOL415.docx</v>
      </c>
      <c r="U510" t="s">
        <v>43</v>
      </c>
      <c r="V510" t="s">
        <v>43</v>
      </c>
      <c r="W510" t="s">
        <v>43</v>
      </c>
      <c r="X510" t="s">
        <v>43</v>
      </c>
      <c r="Y510" t="s">
        <v>43</v>
      </c>
      <c r="Z510" t="s">
        <v>43</v>
      </c>
      <c r="AA510" t="s">
        <v>43</v>
      </c>
      <c r="AB510" s="2" t="s">
        <v>43</v>
      </c>
      <c r="AC510" t="s">
        <v>46</v>
      </c>
      <c r="AD510" t="s">
        <v>64</v>
      </c>
      <c r="AE510" t="s">
        <v>46</v>
      </c>
      <c r="AF510" t="s">
        <v>46</v>
      </c>
      <c r="AG510" t="s">
        <v>64</v>
      </c>
      <c r="AH510" s="2" t="s">
        <v>43</v>
      </c>
    </row>
    <row r="511" spans="1:34" ht="315">
      <c r="A511" s="6" t="s">
        <v>132</v>
      </c>
      <c r="B511" s="7">
        <v>46072</v>
      </c>
      <c r="C511" s="9" t="str">
        <f>HYPERLINK("https://eping.wto.org/en/Search?viewData= G/TBT/N/USA/2229/Add.2"," G/TBT/N/USA/2229/Add.2")</f>
        <v xml:space="preserve"> G/TBT/N/USA/2229/Add.2</v>
      </c>
      <c r="D511" s="8" t="s">
        <v>2440</v>
      </c>
      <c r="E511" s="8" t="s">
        <v>2441</v>
      </c>
      <c r="F511" s="8" t="s">
        <v>2442</v>
      </c>
      <c r="G511" s="8" t="s">
        <v>43</v>
      </c>
      <c r="H511" s="8" t="s">
        <v>2443</v>
      </c>
      <c r="I511" s="8" t="s">
        <v>322</v>
      </c>
      <c r="J511" s="8" t="s">
        <v>43</v>
      </c>
      <c r="K511" s="8" t="s">
        <v>43</v>
      </c>
      <c r="L511" s="6"/>
      <c r="M511" s="7" t="s">
        <v>43</v>
      </c>
      <c r="N511" s="7"/>
      <c r="O511" s="7"/>
      <c r="P511" s="6" t="s">
        <v>44</v>
      </c>
      <c r="Q511" s="8" t="s">
        <v>2444</v>
      </c>
      <c r="R511" t="str">
        <f>HYPERLINK("https://docs.wto.org/imrd/directdoc.asp?DDFDocuments/t/G/TBTN25/USA2229A2.docx", "https://docs.wto.org/imrd/directdoc.asp?DDFDocuments/t/G/TBTN25/USA2229A2.docx")</f>
        <v>https://docs.wto.org/imrd/directdoc.asp?DDFDocuments/t/G/TBTN25/USA2229A2.docx</v>
      </c>
      <c r="S511" t="str">
        <f>HYPERLINK("https://docs.wto.org/imrd/directdoc.asp?DDFDocuments/u/G/TBTN25/USA2229A2.docx", "https://docs.wto.org/imrd/directdoc.asp?DDFDocuments/u/G/TBTN25/USA2229A2.docx")</f>
        <v>https://docs.wto.org/imrd/directdoc.asp?DDFDocuments/u/G/TBTN25/USA2229A2.docx</v>
      </c>
      <c r="T511" t="str">
        <f>HYPERLINK("https://docs.wto.org/imrd/directdoc.asp?DDFDocuments/v/G/TBTN25/USA2229A2.docx", "https://docs.wto.org/imrd/directdoc.asp?DDFDocuments/v/G/TBTN25/USA2229A2.docx")</f>
        <v>https://docs.wto.org/imrd/directdoc.asp?DDFDocuments/v/G/TBTN25/USA2229A2.docx</v>
      </c>
      <c r="U511" t="s">
        <v>46</v>
      </c>
      <c r="V511" t="s">
        <v>46</v>
      </c>
      <c r="W511" t="s">
        <v>46</v>
      </c>
      <c r="X511" t="s">
        <v>46</v>
      </c>
      <c r="Y511" t="s">
        <v>46</v>
      </c>
      <c r="Z511" t="s">
        <v>46</v>
      </c>
      <c r="AA511" t="s">
        <v>46</v>
      </c>
      <c r="AB511" s="2" t="s">
        <v>43</v>
      </c>
      <c r="AC511" t="s">
        <v>43</v>
      </c>
      <c r="AD511" t="s">
        <v>43</v>
      </c>
      <c r="AE511" t="s">
        <v>43</v>
      </c>
      <c r="AF511" t="s">
        <v>43</v>
      </c>
      <c r="AG511" t="s">
        <v>43</v>
      </c>
      <c r="AH511" s="2" t="s">
        <v>43</v>
      </c>
    </row>
    <row r="512" spans="1:34" ht="105">
      <c r="A512" s="6" t="s">
        <v>74</v>
      </c>
      <c r="B512" s="7">
        <v>46071</v>
      </c>
      <c r="C512" s="9" t="str">
        <f>HYPERLINK("https://eping.wto.org/en/Search?viewData= G/SPS/N/IND/332/Add.1"," G/SPS/N/IND/332/Add.1")</f>
        <v xml:space="preserve"> G/SPS/N/IND/332/Add.1</v>
      </c>
      <c r="D512" s="8" t="s">
        <v>2445</v>
      </c>
      <c r="E512" s="8" t="s">
        <v>2446</v>
      </c>
      <c r="F512" s="8" t="s">
        <v>2447</v>
      </c>
      <c r="G512" s="8" t="s">
        <v>2448</v>
      </c>
      <c r="H512" s="8" t="s">
        <v>43</v>
      </c>
      <c r="I512" s="8" t="s">
        <v>1721</v>
      </c>
      <c r="J512" s="8" t="s">
        <v>43</v>
      </c>
      <c r="K512" s="8" t="s">
        <v>2449</v>
      </c>
      <c r="L512" s="6"/>
      <c r="M512" s="7" t="s">
        <v>43</v>
      </c>
      <c r="N512" s="7"/>
      <c r="O512" s="7"/>
      <c r="P512" s="6" t="s">
        <v>44</v>
      </c>
      <c r="Q512" s="8" t="s">
        <v>2450</v>
      </c>
      <c r="R512" t="str">
        <f>HYPERLINK("https://docs.wto.org/imrd/directdoc.asp?DDFDocuments/t/G/SPS/NIND332A1.docx", "https://docs.wto.org/imrd/directdoc.asp?DDFDocuments/t/G/SPS/NIND332A1.docx")</f>
        <v>https://docs.wto.org/imrd/directdoc.asp?DDFDocuments/t/G/SPS/NIND332A1.docx</v>
      </c>
      <c r="S512" t="str">
        <f>HYPERLINK("https://docs.wto.org/imrd/directdoc.asp?DDFDocuments/u/G/SPS/NIND332A1.docx", "https://docs.wto.org/imrd/directdoc.asp?DDFDocuments/u/G/SPS/NIND332A1.docx")</f>
        <v>https://docs.wto.org/imrd/directdoc.asp?DDFDocuments/u/G/SPS/NIND332A1.docx</v>
      </c>
      <c r="T512" t="str">
        <f>HYPERLINK("https://docs.wto.org/imrd/directdoc.asp?DDFDocuments/v/G/SPS/NIND332A1.docx", "https://docs.wto.org/imrd/directdoc.asp?DDFDocuments/v/G/SPS/NIND332A1.docx")</f>
        <v>https://docs.wto.org/imrd/directdoc.asp?DDFDocuments/v/G/SPS/NIND332A1.docx</v>
      </c>
      <c r="U512" t="s">
        <v>43</v>
      </c>
      <c r="V512" t="s">
        <v>43</v>
      </c>
      <c r="W512" t="s">
        <v>43</v>
      </c>
      <c r="X512" t="s">
        <v>43</v>
      </c>
      <c r="Y512" t="s">
        <v>43</v>
      </c>
      <c r="Z512" t="s">
        <v>43</v>
      </c>
      <c r="AA512" t="s">
        <v>43</v>
      </c>
      <c r="AB512" s="2" t="s">
        <v>43</v>
      </c>
      <c r="AC512" t="s">
        <v>43</v>
      </c>
      <c r="AD512" t="s">
        <v>43</v>
      </c>
      <c r="AE512" t="s">
        <v>43</v>
      </c>
      <c r="AF512" t="s">
        <v>43</v>
      </c>
      <c r="AG512" t="s">
        <v>43</v>
      </c>
      <c r="AH512" s="2" t="s">
        <v>43</v>
      </c>
    </row>
    <row r="513" spans="1:34" ht="135">
      <c r="A513" s="6" t="s">
        <v>74</v>
      </c>
      <c r="B513" s="7">
        <v>46071</v>
      </c>
      <c r="C513" s="9" t="str">
        <f>HYPERLINK("https://eping.wto.org/en/Search?viewData= G/SPS/N/IND/337/Add.1"," G/SPS/N/IND/337/Add.1")</f>
        <v xml:space="preserve"> G/SPS/N/IND/337/Add.1</v>
      </c>
      <c r="D513" s="8" t="s">
        <v>2451</v>
      </c>
      <c r="E513" s="8" t="s">
        <v>2452</v>
      </c>
      <c r="F513" s="8" t="s">
        <v>2453</v>
      </c>
      <c r="G513" s="8" t="s">
        <v>2454</v>
      </c>
      <c r="H513" s="8" t="s">
        <v>43</v>
      </c>
      <c r="I513" s="8" t="s">
        <v>1721</v>
      </c>
      <c r="J513" s="8" t="s">
        <v>43</v>
      </c>
      <c r="K513" s="8" t="s">
        <v>2455</v>
      </c>
      <c r="L513" s="6"/>
      <c r="M513" s="7" t="s">
        <v>43</v>
      </c>
      <c r="N513" s="7"/>
      <c r="O513" s="7"/>
      <c r="P513" s="6" t="s">
        <v>44</v>
      </c>
      <c r="Q513" s="8" t="s">
        <v>2456</v>
      </c>
      <c r="R513" t="str">
        <f>HYPERLINK("https://docs.wto.org/imrd/directdoc.asp?DDFDocuments/t/G/SPS/NIND337A1.docx", "https://docs.wto.org/imrd/directdoc.asp?DDFDocuments/t/G/SPS/NIND337A1.docx")</f>
        <v>https://docs.wto.org/imrd/directdoc.asp?DDFDocuments/t/G/SPS/NIND337A1.docx</v>
      </c>
      <c r="S513" t="str">
        <f>HYPERLINK("https://docs.wto.org/imrd/directdoc.asp?DDFDocuments/u/G/SPS/NIND337A1.docx", "https://docs.wto.org/imrd/directdoc.asp?DDFDocuments/u/G/SPS/NIND337A1.docx")</f>
        <v>https://docs.wto.org/imrd/directdoc.asp?DDFDocuments/u/G/SPS/NIND337A1.docx</v>
      </c>
      <c r="T513" t="str">
        <f>HYPERLINK("https://docs.wto.org/imrd/directdoc.asp?DDFDocuments/v/G/SPS/NIND337A1.docx", "https://docs.wto.org/imrd/directdoc.asp?DDFDocuments/v/G/SPS/NIND337A1.docx")</f>
        <v>https://docs.wto.org/imrd/directdoc.asp?DDFDocuments/v/G/SPS/NIND337A1.docx</v>
      </c>
      <c r="U513" t="s">
        <v>43</v>
      </c>
      <c r="V513" t="s">
        <v>43</v>
      </c>
      <c r="W513" t="s">
        <v>43</v>
      </c>
      <c r="X513" t="s">
        <v>43</v>
      </c>
      <c r="Y513" t="s">
        <v>43</v>
      </c>
      <c r="Z513" t="s">
        <v>43</v>
      </c>
      <c r="AA513" t="s">
        <v>43</v>
      </c>
      <c r="AB513" s="2" t="s">
        <v>43</v>
      </c>
      <c r="AC513" t="s">
        <v>43</v>
      </c>
      <c r="AD513" t="s">
        <v>43</v>
      </c>
      <c r="AE513" t="s">
        <v>43</v>
      </c>
      <c r="AF513" t="s">
        <v>43</v>
      </c>
      <c r="AG513" t="s">
        <v>43</v>
      </c>
      <c r="AH513" s="2" t="s">
        <v>43</v>
      </c>
    </row>
    <row r="514" spans="1:34" ht="240">
      <c r="A514" s="6" t="s">
        <v>47</v>
      </c>
      <c r="B514" s="7">
        <v>46071</v>
      </c>
      <c r="C514" s="9" t="str">
        <f>HYPERLINK("https://eping.wto.org/en/Search?viewData= G/TBT/N/CAN/749/Add.1"," G/TBT/N/CAN/749/Add.1")</f>
        <v xml:space="preserve"> G/TBT/N/CAN/749/Add.1</v>
      </c>
      <c r="D514" s="8" t="s">
        <v>2457</v>
      </c>
      <c r="E514" s="8" t="s">
        <v>2458</v>
      </c>
      <c r="F514" s="8" t="s">
        <v>2459</v>
      </c>
      <c r="G514" s="8" t="s">
        <v>43</v>
      </c>
      <c r="H514" s="8" t="s">
        <v>2460</v>
      </c>
      <c r="I514" s="8" t="s">
        <v>52</v>
      </c>
      <c r="J514" s="8" t="s">
        <v>2461</v>
      </c>
      <c r="K514" s="8" t="s">
        <v>1029</v>
      </c>
      <c r="L514" s="6"/>
      <c r="M514" s="7" t="s">
        <v>43</v>
      </c>
      <c r="N514" s="7"/>
      <c r="O514" s="7"/>
      <c r="P514" s="6" t="s">
        <v>44</v>
      </c>
      <c r="Q514" s="6"/>
      <c r="R514" t="str">
        <f>HYPERLINK("https://docs.wto.org/imrd/directdoc.asp?DDFDocuments/t/G/TBTN25/CAN749A1.docx", "https://docs.wto.org/imrd/directdoc.asp?DDFDocuments/t/G/TBTN25/CAN749A1.docx")</f>
        <v>https://docs.wto.org/imrd/directdoc.asp?DDFDocuments/t/G/TBTN25/CAN749A1.docx</v>
      </c>
      <c r="S514" t="str">
        <f>HYPERLINK("https://docs.wto.org/imrd/directdoc.asp?DDFDocuments/u/G/TBTN25/CAN749A1.docx", "https://docs.wto.org/imrd/directdoc.asp?DDFDocuments/u/G/TBTN25/CAN749A1.docx")</f>
        <v>https://docs.wto.org/imrd/directdoc.asp?DDFDocuments/u/G/TBTN25/CAN749A1.docx</v>
      </c>
      <c r="T514" t="str">
        <f>HYPERLINK("https://docs.wto.org/imrd/directdoc.asp?DDFDocuments/v/G/TBTN25/CAN749A1.docx", "https://docs.wto.org/imrd/directdoc.asp?DDFDocuments/v/G/TBTN25/CAN749A1.docx")</f>
        <v>https://docs.wto.org/imrd/directdoc.asp?DDFDocuments/v/G/TBTN25/CAN749A1.docx</v>
      </c>
      <c r="U514" t="s">
        <v>46</v>
      </c>
      <c r="V514" t="s">
        <v>46</v>
      </c>
      <c r="W514" t="s">
        <v>46</v>
      </c>
      <c r="X514" t="s">
        <v>46</v>
      </c>
      <c r="Y514" t="s">
        <v>46</v>
      </c>
      <c r="Z514" t="s">
        <v>46</v>
      </c>
      <c r="AA514" t="s">
        <v>46</v>
      </c>
      <c r="AB514" s="2" t="s">
        <v>43</v>
      </c>
      <c r="AC514" t="s">
        <v>43</v>
      </c>
      <c r="AD514" t="s">
        <v>43</v>
      </c>
      <c r="AE514" t="s">
        <v>43</v>
      </c>
      <c r="AF514" t="s">
        <v>43</v>
      </c>
      <c r="AG514" t="s">
        <v>43</v>
      </c>
      <c r="AH514" s="2" t="s">
        <v>43</v>
      </c>
    </row>
    <row r="515" spans="1:34" ht="240">
      <c r="A515" s="6" t="s">
        <v>577</v>
      </c>
      <c r="B515" s="7">
        <v>46071</v>
      </c>
      <c r="C515" s="9" t="str">
        <f>HYPERLINK("https://eping.wto.org/en/Search?viewData= G/TBT/N/BDI/714"," G/TBT/N/BDI/714")</f>
        <v xml:space="preserve"> G/TBT/N/BDI/714</v>
      </c>
      <c r="D515" s="8" t="s">
        <v>2462</v>
      </c>
      <c r="E515" s="8" t="s">
        <v>2463</v>
      </c>
      <c r="F515" s="8" t="s">
        <v>2464</v>
      </c>
      <c r="G515" s="8" t="s">
        <v>43</v>
      </c>
      <c r="H515" s="8" t="s">
        <v>896</v>
      </c>
      <c r="I515" s="8" t="s">
        <v>2465</v>
      </c>
      <c r="J515" s="8" t="s">
        <v>43</v>
      </c>
      <c r="K515" s="8" t="s">
        <v>240</v>
      </c>
      <c r="L515" s="6"/>
      <c r="M515" s="7">
        <v>46131</v>
      </c>
      <c r="N515" s="7" t="s">
        <v>79</v>
      </c>
      <c r="O515" s="7" t="s">
        <v>79</v>
      </c>
      <c r="P515" s="6" t="s">
        <v>62</v>
      </c>
      <c r="Q515" s="8" t="s">
        <v>2466</v>
      </c>
      <c r="R515" t="str">
        <f>HYPERLINK("https://docs.wto.org/imrd/directdoc.asp?DDFDocuments/t/G/TBTN26/BDI714.docx", "https://docs.wto.org/imrd/directdoc.asp?DDFDocuments/t/G/TBTN26/BDI714.docx")</f>
        <v>https://docs.wto.org/imrd/directdoc.asp?DDFDocuments/t/G/TBTN26/BDI714.docx</v>
      </c>
      <c r="S515" t="str">
        <f>HYPERLINK("https://docs.wto.org/imrd/directdoc.asp?DDFDocuments/u/G/TBTN26/BDI714.docx", "https://docs.wto.org/imrd/directdoc.asp?DDFDocuments/u/G/TBTN26/BDI714.docx")</f>
        <v>https://docs.wto.org/imrd/directdoc.asp?DDFDocuments/u/G/TBTN26/BDI714.docx</v>
      </c>
      <c r="T515" t="str">
        <f>HYPERLINK("https://docs.wto.org/imrd/directdoc.asp?DDFDocuments/v/G/TBTN26/BDI714.docx", "https://docs.wto.org/imrd/directdoc.asp?DDFDocuments/v/G/TBTN26/BDI714.docx")</f>
        <v>https://docs.wto.org/imrd/directdoc.asp?DDFDocuments/v/G/TBTN26/BDI714.docx</v>
      </c>
      <c r="U515" t="s">
        <v>64</v>
      </c>
      <c r="V515" t="s">
        <v>46</v>
      </c>
      <c r="W515" t="s">
        <v>64</v>
      </c>
      <c r="X515" t="s">
        <v>46</v>
      </c>
      <c r="Y515" t="s">
        <v>46</v>
      </c>
      <c r="Z515" t="s">
        <v>46</v>
      </c>
      <c r="AA515" t="s">
        <v>46</v>
      </c>
      <c r="AB515" s="2" t="s">
        <v>2467</v>
      </c>
      <c r="AC515" t="s">
        <v>43</v>
      </c>
      <c r="AD515" t="s">
        <v>43</v>
      </c>
      <c r="AE515" t="s">
        <v>43</v>
      </c>
      <c r="AF515" t="s">
        <v>43</v>
      </c>
      <c r="AG515" t="s">
        <v>43</v>
      </c>
      <c r="AH515" s="2" t="s">
        <v>43</v>
      </c>
    </row>
    <row r="516" spans="1:34" ht="30">
      <c r="A516" s="6" t="s">
        <v>338</v>
      </c>
      <c r="B516" s="7">
        <v>46071</v>
      </c>
      <c r="C516" s="9" t="str">
        <f>HYPERLINK("https://eping.wto.org/en/Search?viewData= G/SPS/N/SAU/612"," G/SPS/N/SAU/612")</f>
        <v xml:space="preserve"> G/SPS/N/SAU/612</v>
      </c>
      <c r="D516" s="8" t="s">
        <v>2468</v>
      </c>
      <c r="E516" s="8" t="s">
        <v>1888</v>
      </c>
      <c r="F516" s="8" t="s">
        <v>1889</v>
      </c>
      <c r="G516" s="8" t="s">
        <v>43</v>
      </c>
      <c r="H516" s="8" t="s">
        <v>1890</v>
      </c>
      <c r="I516" s="8" t="s">
        <v>2339</v>
      </c>
      <c r="J516" s="8" t="s">
        <v>43</v>
      </c>
      <c r="K516" s="8" t="s">
        <v>2469</v>
      </c>
      <c r="L516" s="6" t="s">
        <v>43</v>
      </c>
      <c r="M516" s="7">
        <v>46131</v>
      </c>
      <c r="N516" s="7" t="s">
        <v>304</v>
      </c>
      <c r="O516" s="7" t="s">
        <v>114</v>
      </c>
      <c r="P516" s="6" t="s">
        <v>62</v>
      </c>
      <c r="Q516" s="8" t="s">
        <v>2470</v>
      </c>
      <c r="R516" t="str">
        <f>HYPERLINK("https://docs.wto.org/imrd/directdoc.asp?DDFDocuments/t/G/SPS/NSAU612.docx", "https://docs.wto.org/imrd/directdoc.asp?DDFDocuments/t/G/SPS/NSAU612.docx")</f>
        <v>https://docs.wto.org/imrd/directdoc.asp?DDFDocuments/t/G/SPS/NSAU612.docx</v>
      </c>
      <c r="S516" t="str">
        <f>HYPERLINK("https://docs.wto.org/imrd/directdoc.asp?DDFDocuments/u/G/SPS/NSAU612.docx", "https://docs.wto.org/imrd/directdoc.asp?DDFDocuments/u/G/SPS/NSAU612.docx")</f>
        <v>https://docs.wto.org/imrd/directdoc.asp?DDFDocuments/u/G/SPS/NSAU612.docx</v>
      </c>
      <c r="T516" t="str">
        <f>HYPERLINK("https://docs.wto.org/imrd/directdoc.asp?DDFDocuments/v/G/SPS/NSAU612.docx", "https://docs.wto.org/imrd/directdoc.asp?DDFDocuments/v/G/SPS/NSAU612.docx")</f>
        <v>https://docs.wto.org/imrd/directdoc.asp?DDFDocuments/v/G/SPS/NSAU612.docx</v>
      </c>
      <c r="U516" t="s">
        <v>43</v>
      </c>
      <c r="V516" t="s">
        <v>43</v>
      </c>
      <c r="W516" t="s">
        <v>43</v>
      </c>
      <c r="X516" t="s">
        <v>43</v>
      </c>
      <c r="Y516" t="s">
        <v>43</v>
      </c>
      <c r="Z516" t="s">
        <v>43</v>
      </c>
      <c r="AA516" t="s">
        <v>43</v>
      </c>
      <c r="AB516" s="2" t="s">
        <v>43</v>
      </c>
      <c r="AC516" t="s">
        <v>46</v>
      </c>
      <c r="AD516" t="s">
        <v>46</v>
      </c>
      <c r="AE516" t="s">
        <v>46</v>
      </c>
      <c r="AF516" t="s">
        <v>64</v>
      </c>
      <c r="AG516" t="s">
        <v>99</v>
      </c>
      <c r="AH516" s="2" t="s">
        <v>43</v>
      </c>
    </row>
    <row r="517" spans="1:34" ht="120">
      <c r="A517" s="6" t="s">
        <v>47</v>
      </c>
      <c r="B517" s="7">
        <v>46070</v>
      </c>
      <c r="C517" s="9" t="str">
        <f>HYPERLINK("https://eping.wto.org/en/Search?viewData= G/TBT/N/CAN/757/Add.1"," G/TBT/N/CAN/757/Add.1")</f>
        <v xml:space="preserve"> G/TBT/N/CAN/757/Add.1</v>
      </c>
      <c r="D517" s="8" t="s">
        <v>2471</v>
      </c>
      <c r="E517" s="8" t="s">
        <v>2472</v>
      </c>
      <c r="F517" s="8" t="s">
        <v>50</v>
      </c>
      <c r="G517" s="8" t="s">
        <v>43</v>
      </c>
      <c r="H517" s="8" t="s">
        <v>51</v>
      </c>
      <c r="I517" s="8" t="s">
        <v>52</v>
      </c>
      <c r="J517" s="8" t="s">
        <v>53</v>
      </c>
      <c r="K517" s="8" t="s">
        <v>43</v>
      </c>
      <c r="L517" s="6"/>
      <c r="M517" s="7" t="s">
        <v>43</v>
      </c>
      <c r="N517" s="7"/>
      <c r="O517" s="7"/>
      <c r="P517" s="6" t="s">
        <v>44</v>
      </c>
      <c r="Q517" s="8" t="s">
        <v>2473</v>
      </c>
      <c r="R517" t="str">
        <f>HYPERLINK("https://docs.wto.org/imrd/directdoc.asp?DDFDocuments/t/G/TBTN25/CAN757A1.docx", "https://docs.wto.org/imrd/directdoc.asp?DDFDocuments/t/G/TBTN25/CAN757A1.docx")</f>
        <v>https://docs.wto.org/imrd/directdoc.asp?DDFDocuments/t/G/TBTN25/CAN757A1.docx</v>
      </c>
      <c r="S517" t="str">
        <f>HYPERLINK("https://docs.wto.org/imrd/directdoc.asp?DDFDocuments/u/G/TBTN25/CAN757A1.docx", "https://docs.wto.org/imrd/directdoc.asp?DDFDocuments/u/G/TBTN25/CAN757A1.docx")</f>
        <v>https://docs.wto.org/imrd/directdoc.asp?DDFDocuments/u/G/TBTN25/CAN757A1.docx</v>
      </c>
      <c r="T517" t="str">
        <f>HYPERLINK("https://docs.wto.org/imrd/directdoc.asp?DDFDocuments/v/G/TBTN25/CAN757A1.docx", "https://docs.wto.org/imrd/directdoc.asp?DDFDocuments/v/G/TBTN25/CAN757A1.docx")</f>
        <v>https://docs.wto.org/imrd/directdoc.asp?DDFDocuments/v/G/TBTN25/CAN757A1.docx</v>
      </c>
      <c r="U517" t="s">
        <v>46</v>
      </c>
      <c r="V517" t="s">
        <v>46</v>
      </c>
      <c r="W517" t="s">
        <v>46</v>
      </c>
      <c r="X517" t="s">
        <v>46</v>
      </c>
      <c r="Y517" t="s">
        <v>46</v>
      </c>
      <c r="Z517" t="s">
        <v>46</v>
      </c>
      <c r="AA517" t="s">
        <v>46</v>
      </c>
      <c r="AB517" s="2" t="s">
        <v>43</v>
      </c>
      <c r="AC517" t="s">
        <v>43</v>
      </c>
      <c r="AD517" t="s">
        <v>43</v>
      </c>
      <c r="AE517" t="s">
        <v>43</v>
      </c>
      <c r="AF517" t="s">
        <v>43</v>
      </c>
      <c r="AG517" t="s">
        <v>43</v>
      </c>
      <c r="AH517" s="2" t="s">
        <v>43</v>
      </c>
    </row>
    <row r="518" spans="1:34" ht="135">
      <c r="A518" s="6" t="s">
        <v>356</v>
      </c>
      <c r="B518" s="7">
        <v>46070</v>
      </c>
      <c r="C518" s="9" t="str">
        <f>HYPERLINK("https://eping.wto.org/en/Search?viewData= G/TBT/N/EU/1191"," G/TBT/N/EU/1191")</f>
        <v xml:space="preserve"> G/TBT/N/EU/1191</v>
      </c>
      <c r="D518" s="8" t="s">
        <v>2474</v>
      </c>
      <c r="E518" s="8" t="s">
        <v>2475</v>
      </c>
      <c r="F518" s="8" t="s">
        <v>2476</v>
      </c>
      <c r="G518" s="8" t="s">
        <v>43</v>
      </c>
      <c r="H518" s="8" t="s">
        <v>2477</v>
      </c>
      <c r="I518" s="8" t="s">
        <v>1783</v>
      </c>
      <c r="J518" s="8" t="s">
        <v>2478</v>
      </c>
      <c r="K518" s="8" t="s">
        <v>43</v>
      </c>
      <c r="L518" s="6"/>
      <c r="M518" s="7">
        <v>46130</v>
      </c>
      <c r="N518" s="7" t="s">
        <v>2479</v>
      </c>
      <c r="O518" s="7" t="s">
        <v>1146</v>
      </c>
      <c r="P518" s="6" t="s">
        <v>62</v>
      </c>
      <c r="Q518" s="8" t="s">
        <v>2480</v>
      </c>
      <c r="R518" t="str">
        <f>HYPERLINK("https://docs.wto.org/imrd/directdoc.asp?DDFDocuments/t/G/TBTN26/EU1191.docx", "https://docs.wto.org/imrd/directdoc.asp?DDFDocuments/t/G/TBTN26/EU1191.docx")</f>
        <v>https://docs.wto.org/imrd/directdoc.asp?DDFDocuments/t/G/TBTN26/EU1191.docx</v>
      </c>
      <c r="S518" t="str">
        <f>HYPERLINK("https://docs.wto.org/imrd/directdoc.asp?DDFDocuments/u/G/TBTN26/EU1191.docx", "https://docs.wto.org/imrd/directdoc.asp?DDFDocuments/u/G/TBTN26/EU1191.docx")</f>
        <v>https://docs.wto.org/imrd/directdoc.asp?DDFDocuments/u/G/TBTN26/EU1191.docx</v>
      </c>
      <c r="T518" t="str">
        <f>HYPERLINK("https://docs.wto.org/imrd/directdoc.asp?DDFDocuments/v/G/TBTN26/EU1191.docx", "https://docs.wto.org/imrd/directdoc.asp?DDFDocuments/v/G/TBTN26/EU1191.docx")</f>
        <v>https://docs.wto.org/imrd/directdoc.asp?DDFDocuments/v/G/TBTN26/EU1191.docx</v>
      </c>
      <c r="U518" t="s">
        <v>64</v>
      </c>
      <c r="V518" t="s">
        <v>46</v>
      </c>
      <c r="W518" t="s">
        <v>64</v>
      </c>
      <c r="X518" t="s">
        <v>46</v>
      </c>
      <c r="Y518" t="s">
        <v>46</v>
      </c>
      <c r="Z518" t="s">
        <v>46</v>
      </c>
      <c r="AA518" t="s">
        <v>46</v>
      </c>
      <c r="AB518" s="2" t="s">
        <v>2481</v>
      </c>
      <c r="AC518" t="s">
        <v>43</v>
      </c>
      <c r="AD518" t="s">
        <v>43</v>
      </c>
      <c r="AE518" t="s">
        <v>43</v>
      </c>
      <c r="AF518" t="s">
        <v>43</v>
      </c>
      <c r="AG518" t="s">
        <v>43</v>
      </c>
      <c r="AH518" s="2" t="s">
        <v>43</v>
      </c>
    </row>
    <row r="519" spans="1:34" ht="120">
      <c r="A519" s="6" t="s">
        <v>89</v>
      </c>
      <c r="B519" s="7">
        <v>46070</v>
      </c>
      <c r="C519" s="9" t="str">
        <f>HYPERLINK("https://eping.wto.org/en/Search?viewData= G/SPS/N/CRI/344/Add.1"," G/SPS/N/CRI/344/Add.1")</f>
        <v xml:space="preserve"> G/SPS/N/CRI/344/Add.1</v>
      </c>
      <c r="D519" s="8" t="s">
        <v>2482</v>
      </c>
      <c r="E519" s="8" t="s">
        <v>2482</v>
      </c>
      <c r="F519" s="8" t="s">
        <v>2483</v>
      </c>
      <c r="G519" s="8" t="s">
        <v>2484</v>
      </c>
      <c r="H519" s="8" t="s">
        <v>43</v>
      </c>
      <c r="I519" s="8" t="s">
        <v>94</v>
      </c>
      <c r="J519" s="8" t="s">
        <v>43</v>
      </c>
      <c r="K519" s="8" t="s">
        <v>2485</v>
      </c>
      <c r="L519" s="6"/>
      <c r="M519" s="7" t="s">
        <v>43</v>
      </c>
      <c r="N519" s="7"/>
      <c r="O519" s="7"/>
      <c r="P519" s="6" t="s">
        <v>44</v>
      </c>
      <c r="Q519" s="8" t="s">
        <v>2486</v>
      </c>
      <c r="R519" t="str">
        <f>HYPERLINK("https://docs.wto.org/imrd/directdoc.asp?DDFDocuments/t/G/SPS/NCRI344A1.docx", "https://docs.wto.org/imrd/directdoc.asp?DDFDocuments/t/G/SPS/NCRI344A1.docx")</f>
        <v>https://docs.wto.org/imrd/directdoc.asp?DDFDocuments/t/G/SPS/NCRI344A1.docx</v>
      </c>
      <c r="S519" t="str">
        <f>HYPERLINK("https://docs.wto.org/imrd/directdoc.asp?DDFDocuments/u/G/SPS/NCRI344A1.docx", "https://docs.wto.org/imrd/directdoc.asp?DDFDocuments/u/G/SPS/NCRI344A1.docx")</f>
        <v>https://docs.wto.org/imrd/directdoc.asp?DDFDocuments/u/G/SPS/NCRI344A1.docx</v>
      </c>
      <c r="T519" t="str">
        <f>HYPERLINK("https://docs.wto.org/imrd/directdoc.asp?DDFDocuments/v/G/SPS/NCRI344A1.docx", "https://docs.wto.org/imrd/directdoc.asp?DDFDocuments/v/G/SPS/NCRI344A1.docx")</f>
        <v>https://docs.wto.org/imrd/directdoc.asp?DDFDocuments/v/G/SPS/NCRI344A1.docx</v>
      </c>
      <c r="U519" t="s">
        <v>43</v>
      </c>
      <c r="V519" t="s">
        <v>43</v>
      </c>
      <c r="W519" t="s">
        <v>43</v>
      </c>
      <c r="X519" t="s">
        <v>43</v>
      </c>
      <c r="Y519" t="s">
        <v>43</v>
      </c>
      <c r="Z519" t="s">
        <v>43</v>
      </c>
      <c r="AA519" t="s">
        <v>43</v>
      </c>
      <c r="AB519" s="2" t="s">
        <v>43</v>
      </c>
      <c r="AC519" t="s">
        <v>43</v>
      </c>
      <c r="AD519" t="s">
        <v>43</v>
      </c>
      <c r="AE519" t="s">
        <v>43</v>
      </c>
      <c r="AF519" t="s">
        <v>43</v>
      </c>
      <c r="AG519" t="s">
        <v>43</v>
      </c>
      <c r="AH519" s="2" t="s">
        <v>43</v>
      </c>
    </row>
    <row r="520" spans="1:34" ht="30">
      <c r="A520" s="6" t="s">
        <v>47</v>
      </c>
      <c r="B520" s="7">
        <v>46070</v>
      </c>
      <c r="C520" s="9" t="str">
        <f>HYPERLINK("https://eping.wto.org/en/Search?viewData= G/SPS/N/CAN/1613/Add.2"," G/SPS/N/CAN/1613/Add.2")</f>
        <v xml:space="preserve"> G/SPS/N/CAN/1613/Add.2</v>
      </c>
      <c r="D520" s="8" t="s">
        <v>2487</v>
      </c>
      <c r="E520" s="8" t="s">
        <v>2488</v>
      </c>
      <c r="F520" s="8" t="s">
        <v>1359</v>
      </c>
      <c r="G520" s="8" t="s">
        <v>2489</v>
      </c>
      <c r="H520" s="8" t="s">
        <v>43</v>
      </c>
      <c r="I520" s="8" t="s">
        <v>104</v>
      </c>
      <c r="J520" s="8" t="s">
        <v>43</v>
      </c>
      <c r="K520" s="8" t="s">
        <v>2490</v>
      </c>
      <c r="L520" s="6"/>
      <c r="M520" s="7" t="s">
        <v>43</v>
      </c>
      <c r="N520" s="7"/>
      <c r="O520" s="7"/>
      <c r="P520" s="6" t="s">
        <v>44</v>
      </c>
      <c r="Q520" s="6"/>
      <c r="R520" t="str">
        <f>HYPERLINK("https://docs.wto.org/imrd/directdoc.asp?DDFDocuments/t/G/SPS/NCAN1613A2.docx", "https://docs.wto.org/imrd/directdoc.asp?DDFDocuments/t/G/SPS/NCAN1613A2.docx")</f>
        <v>https://docs.wto.org/imrd/directdoc.asp?DDFDocuments/t/G/SPS/NCAN1613A2.docx</v>
      </c>
      <c r="S520" t="str">
        <f>HYPERLINK("https://docs.wto.org/imrd/directdoc.asp?DDFDocuments/u/G/SPS/NCAN1613A2.docx", "https://docs.wto.org/imrd/directdoc.asp?DDFDocuments/u/G/SPS/NCAN1613A2.docx")</f>
        <v>https://docs.wto.org/imrd/directdoc.asp?DDFDocuments/u/G/SPS/NCAN1613A2.docx</v>
      </c>
      <c r="T520" t="str">
        <f>HYPERLINK("https://docs.wto.org/imrd/directdoc.asp?DDFDocuments/v/G/SPS/NCAN1613A2.docx", "https://docs.wto.org/imrd/directdoc.asp?DDFDocuments/v/G/SPS/NCAN1613A2.docx")</f>
        <v>https://docs.wto.org/imrd/directdoc.asp?DDFDocuments/v/G/SPS/NCAN1613A2.docx</v>
      </c>
      <c r="U520" t="s">
        <v>43</v>
      </c>
      <c r="V520" t="s">
        <v>43</v>
      </c>
      <c r="W520" t="s">
        <v>43</v>
      </c>
      <c r="X520" t="s">
        <v>43</v>
      </c>
      <c r="Y520" t="s">
        <v>43</v>
      </c>
      <c r="Z520" t="s">
        <v>43</v>
      </c>
      <c r="AA520" t="s">
        <v>43</v>
      </c>
      <c r="AB520" s="2" t="s">
        <v>43</v>
      </c>
      <c r="AC520" t="s">
        <v>43</v>
      </c>
      <c r="AD520" t="s">
        <v>43</v>
      </c>
      <c r="AE520" t="s">
        <v>43</v>
      </c>
      <c r="AF520" t="s">
        <v>43</v>
      </c>
      <c r="AG520" t="s">
        <v>43</v>
      </c>
      <c r="AH520" s="2" t="s">
        <v>43</v>
      </c>
    </row>
    <row r="521" spans="1:34" ht="225">
      <c r="A521" s="6" t="s">
        <v>249</v>
      </c>
      <c r="B521" s="7">
        <v>46070</v>
      </c>
      <c r="C521" s="9" t="str">
        <f>HYPERLINK("https://eping.wto.org/en/Search?viewData= G/SPS/N/COL/406/Add.1"," G/SPS/N/COL/406/Add.1")</f>
        <v xml:space="preserve"> G/SPS/N/COL/406/Add.1</v>
      </c>
      <c r="D521" s="8" t="s">
        <v>2491</v>
      </c>
      <c r="E521" s="8" t="s">
        <v>2491</v>
      </c>
      <c r="F521" s="8" t="s">
        <v>2492</v>
      </c>
      <c r="G521" s="8" t="s">
        <v>2493</v>
      </c>
      <c r="H521" s="8" t="s">
        <v>43</v>
      </c>
      <c r="I521" s="8" t="s">
        <v>254</v>
      </c>
      <c r="J521" s="8" t="s">
        <v>43</v>
      </c>
      <c r="K521" s="8" t="s">
        <v>2004</v>
      </c>
      <c r="L521" s="6"/>
      <c r="M521" s="7" t="s">
        <v>43</v>
      </c>
      <c r="N521" s="7"/>
      <c r="O521" s="7"/>
      <c r="P521" s="6" t="s">
        <v>44</v>
      </c>
      <c r="Q521" s="8" t="s">
        <v>2494</v>
      </c>
      <c r="R521" t="str">
        <f>HYPERLINK("https://docs.wto.org/imrd/directdoc.asp?DDFDocuments/t/G/SPS/NCOL406A1.docx", "https://docs.wto.org/imrd/directdoc.asp?DDFDocuments/t/G/SPS/NCOL406A1.docx")</f>
        <v>https://docs.wto.org/imrd/directdoc.asp?DDFDocuments/t/G/SPS/NCOL406A1.docx</v>
      </c>
      <c r="S521" t="str">
        <f>HYPERLINK("https://docs.wto.org/imrd/directdoc.asp?DDFDocuments/u/G/SPS/NCOL406A1.docx", "https://docs.wto.org/imrd/directdoc.asp?DDFDocuments/u/G/SPS/NCOL406A1.docx")</f>
        <v>https://docs.wto.org/imrd/directdoc.asp?DDFDocuments/u/G/SPS/NCOL406A1.docx</v>
      </c>
      <c r="T521" t="str">
        <f>HYPERLINK("https://docs.wto.org/imrd/directdoc.asp?DDFDocuments/v/G/SPS/NCOL406A1.docx", "https://docs.wto.org/imrd/directdoc.asp?DDFDocuments/v/G/SPS/NCOL406A1.docx")</f>
        <v>https://docs.wto.org/imrd/directdoc.asp?DDFDocuments/v/G/SPS/NCOL406A1.docx</v>
      </c>
      <c r="U521" t="s">
        <v>43</v>
      </c>
      <c r="V521" t="s">
        <v>43</v>
      </c>
      <c r="W521" t="s">
        <v>43</v>
      </c>
      <c r="X521" t="s">
        <v>43</v>
      </c>
      <c r="Y521" t="s">
        <v>43</v>
      </c>
      <c r="Z521" t="s">
        <v>43</v>
      </c>
      <c r="AA521" t="s">
        <v>43</v>
      </c>
      <c r="AB521" s="2" t="s">
        <v>43</v>
      </c>
      <c r="AC521" t="s">
        <v>43</v>
      </c>
      <c r="AD521" t="s">
        <v>43</v>
      </c>
      <c r="AE521" t="s">
        <v>43</v>
      </c>
      <c r="AF521" t="s">
        <v>43</v>
      </c>
      <c r="AG521" t="s">
        <v>43</v>
      </c>
      <c r="AH521" s="2" t="s">
        <v>43</v>
      </c>
    </row>
    <row r="522" spans="1:34" ht="105">
      <c r="A522" s="6" t="s">
        <v>249</v>
      </c>
      <c r="B522" s="7">
        <v>46070</v>
      </c>
      <c r="C522" s="9" t="str">
        <f>HYPERLINK("https://eping.wto.org/en/Search?viewData= G/SPS/N/COL/414"," G/SPS/N/COL/414")</f>
        <v xml:space="preserve"> G/SPS/N/COL/414</v>
      </c>
      <c r="D522" s="8" t="s">
        <v>2495</v>
      </c>
      <c r="E522" s="8" t="s">
        <v>2496</v>
      </c>
      <c r="F522" s="8" t="s">
        <v>2438</v>
      </c>
      <c r="G522" s="8" t="s">
        <v>43</v>
      </c>
      <c r="H522" s="8" t="s">
        <v>43</v>
      </c>
      <c r="I522" s="8" t="s">
        <v>104</v>
      </c>
      <c r="J522" s="8" t="s">
        <v>43</v>
      </c>
      <c r="K522" s="8" t="s">
        <v>2497</v>
      </c>
      <c r="L522" s="6" t="s">
        <v>597</v>
      </c>
      <c r="M522" s="7" t="s">
        <v>43</v>
      </c>
      <c r="N522" s="7"/>
      <c r="O522" s="7">
        <v>46066</v>
      </c>
      <c r="P522" s="6" t="s">
        <v>107</v>
      </c>
      <c r="Q522" s="8" t="s">
        <v>2498</v>
      </c>
      <c r="R522" t="str">
        <f>HYPERLINK("https://docs.wto.org/imrd/directdoc.asp?DDFDocuments/t/G/SPS/NCOL414.docx", "https://docs.wto.org/imrd/directdoc.asp?DDFDocuments/t/G/SPS/NCOL414.docx")</f>
        <v>https://docs.wto.org/imrd/directdoc.asp?DDFDocuments/t/G/SPS/NCOL414.docx</v>
      </c>
      <c r="S522" t="str">
        <f>HYPERLINK("https://docs.wto.org/imrd/directdoc.asp?DDFDocuments/u/G/SPS/NCOL414.docx", "https://docs.wto.org/imrd/directdoc.asp?DDFDocuments/u/G/SPS/NCOL414.docx")</f>
        <v>https://docs.wto.org/imrd/directdoc.asp?DDFDocuments/u/G/SPS/NCOL414.docx</v>
      </c>
      <c r="T522" t="str">
        <f>HYPERLINK("https://docs.wto.org/imrd/directdoc.asp?DDFDocuments/v/G/SPS/NCOL414.docx", "https://docs.wto.org/imrd/directdoc.asp?DDFDocuments/v/G/SPS/NCOL414.docx")</f>
        <v>https://docs.wto.org/imrd/directdoc.asp?DDFDocuments/v/G/SPS/NCOL414.docx</v>
      </c>
      <c r="U522" t="s">
        <v>43</v>
      </c>
      <c r="V522" t="s">
        <v>43</v>
      </c>
      <c r="W522" t="s">
        <v>43</v>
      </c>
      <c r="X522" t="s">
        <v>43</v>
      </c>
      <c r="Y522" t="s">
        <v>43</v>
      </c>
      <c r="Z522" t="s">
        <v>43</v>
      </c>
      <c r="AA522" t="s">
        <v>43</v>
      </c>
      <c r="AB522" s="2" t="s">
        <v>43</v>
      </c>
      <c r="AC522" t="s">
        <v>46</v>
      </c>
      <c r="AD522" t="s">
        <v>64</v>
      </c>
      <c r="AE522" t="s">
        <v>46</v>
      </c>
      <c r="AF522" t="s">
        <v>46</v>
      </c>
      <c r="AG522" t="s">
        <v>64</v>
      </c>
      <c r="AH522" s="2" t="s">
        <v>43</v>
      </c>
    </row>
    <row r="523" spans="1:34" ht="105">
      <c r="A523" s="6" t="s">
        <v>89</v>
      </c>
      <c r="B523" s="7">
        <v>46070</v>
      </c>
      <c r="C523" s="9" t="str">
        <f>HYPERLINK("https://eping.wto.org/en/Search?viewData= G/SPS/N/CRI/345/Add.1"," G/SPS/N/CRI/345/Add.1")</f>
        <v xml:space="preserve"> G/SPS/N/CRI/345/Add.1</v>
      </c>
      <c r="D523" s="8" t="s">
        <v>2499</v>
      </c>
      <c r="E523" s="8" t="s">
        <v>2499</v>
      </c>
      <c r="F523" s="8" t="s">
        <v>2483</v>
      </c>
      <c r="G523" s="8" t="s">
        <v>2484</v>
      </c>
      <c r="H523" s="8" t="s">
        <v>43</v>
      </c>
      <c r="I523" s="8" t="s">
        <v>94</v>
      </c>
      <c r="J523" s="8" t="s">
        <v>43</v>
      </c>
      <c r="K523" s="8" t="s">
        <v>2485</v>
      </c>
      <c r="L523" s="6"/>
      <c r="M523" s="7" t="s">
        <v>43</v>
      </c>
      <c r="N523" s="7"/>
      <c r="O523" s="7"/>
      <c r="P523" s="6" t="s">
        <v>44</v>
      </c>
      <c r="Q523" s="8" t="s">
        <v>2500</v>
      </c>
      <c r="R523" t="str">
        <f>HYPERLINK("https://docs.wto.org/imrd/directdoc.asp?DDFDocuments/t/G/SPS/NCRI345A1.docx", "https://docs.wto.org/imrd/directdoc.asp?DDFDocuments/t/G/SPS/NCRI345A1.docx")</f>
        <v>https://docs.wto.org/imrd/directdoc.asp?DDFDocuments/t/G/SPS/NCRI345A1.docx</v>
      </c>
      <c r="S523" t="str">
        <f>HYPERLINK("https://docs.wto.org/imrd/directdoc.asp?DDFDocuments/u/G/SPS/NCRI345A1.docx", "https://docs.wto.org/imrd/directdoc.asp?DDFDocuments/u/G/SPS/NCRI345A1.docx")</f>
        <v>https://docs.wto.org/imrd/directdoc.asp?DDFDocuments/u/G/SPS/NCRI345A1.docx</v>
      </c>
      <c r="T523" t="str">
        <f>HYPERLINK("https://docs.wto.org/imrd/directdoc.asp?DDFDocuments/v/G/SPS/NCRI345A1.docx", "https://docs.wto.org/imrd/directdoc.asp?DDFDocuments/v/G/SPS/NCRI345A1.docx")</f>
        <v>https://docs.wto.org/imrd/directdoc.asp?DDFDocuments/v/G/SPS/NCRI345A1.docx</v>
      </c>
      <c r="U523" t="s">
        <v>43</v>
      </c>
      <c r="V523" t="s">
        <v>43</v>
      </c>
      <c r="W523" t="s">
        <v>43</v>
      </c>
      <c r="X523" t="s">
        <v>43</v>
      </c>
      <c r="Y523" t="s">
        <v>43</v>
      </c>
      <c r="Z523" t="s">
        <v>43</v>
      </c>
      <c r="AA523" t="s">
        <v>43</v>
      </c>
      <c r="AB523" s="2" t="s">
        <v>43</v>
      </c>
      <c r="AC523" t="s">
        <v>43</v>
      </c>
      <c r="AD523" t="s">
        <v>43</v>
      </c>
      <c r="AE523" t="s">
        <v>43</v>
      </c>
      <c r="AF523" t="s">
        <v>43</v>
      </c>
      <c r="AG523" t="s">
        <v>43</v>
      </c>
      <c r="AH523" s="2" t="s">
        <v>43</v>
      </c>
    </row>
    <row r="524" spans="1:34" ht="180">
      <c r="A524" s="6" t="s">
        <v>356</v>
      </c>
      <c r="B524" s="7">
        <v>46070</v>
      </c>
      <c r="C524" s="9" t="str">
        <f>HYPERLINK("https://eping.wto.org/en/Search?viewData= G/SPS/N/EU/920"," G/SPS/N/EU/920")</f>
        <v xml:space="preserve"> G/SPS/N/EU/920</v>
      </c>
      <c r="D524" s="8" t="s">
        <v>2501</v>
      </c>
      <c r="E524" s="8" t="s">
        <v>2502</v>
      </c>
      <c r="F524" s="8" t="s">
        <v>2503</v>
      </c>
      <c r="G524" s="8" t="s">
        <v>43</v>
      </c>
      <c r="H524" s="8" t="s">
        <v>43</v>
      </c>
      <c r="I524" s="8" t="s">
        <v>104</v>
      </c>
      <c r="J524" s="8" t="s">
        <v>43</v>
      </c>
      <c r="K524" s="8" t="s">
        <v>1748</v>
      </c>
      <c r="L524" s="6"/>
      <c r="M524" s="7">
        <v>46130</v>
      </c>
      <c r="N524" s="7" t="s">
        <v>304</v>
      </c>
      <c r="O524" s="7" t="s">
        <v>2504</v>
      </c>
      <c r="P524" s="6" t="s">
        <v>62</v>
      </c>
      <c r="Q524" s="8" t="s">
        <v>2505</v>
      </c>
      <c r="R524" t="str">
        <f>HYPERLINK("https://docs.wto.org/imrd/directdoc.asp?DDFDocuments/t/G/SPS/NEU920.docx", "https://docs.wto.org/imrd/directdoc.asp?DDFDocuments/t/G/SPS/NEU920.docx")</f>
        <v>https://docs.wto.org/imrd/directdoc.asp?DDFDocuments/t/G/SPS/NEU920.docx</v>
      </c>
      <c r="S524" t="str">
        <f>HYPERLINK("https://docs.wto.org/imrd/directdoc.asp?DDFDocuments/u/G/SPS/NEU920.docx", "https://docs.wto.org/imrd/directdoc.asp?DDFDocuments/u/G/SPS/NEU920.docx")</f>
        <v>https://docs.wto.org/imrd/directdoc.asp?DDFDocuments/u/G/SPS/NEU920.docx</v>
      </c>
      <c r="T524" t="str">
        <f>HYPERLINK("https://docs.wto.org/imrd/directdoc.asp?DDFDocuments/v/G/SPS/NEU920.docx", "https://docs.wto.org/imrd/directdoc.asp?DDFDocuments/v/G/SPS/NEU920.docx")</f>
        <v>https://docs.wto.org/imrd/directdoc.asp?DDFDocuments/v/G/SPS/NEU920.docx</v>
      </c>
      <c r="U524" t="s">
        <v>43</v>
      </c>
      <c r="V524" t="s">
        <v>43</v>
      </c>
      <c r="W524" t="s">
        <v>43</v>
      </c>
      <c r="X524" t="s">
        <v>43</v>
      </c>
      <c r="Y524" t="s">
        <v>43</v>
      </c>
      <c r="Z524" t="s">
        <v>43</v>
      </c>
      <c r="AA524" t="s">
        <v>43</v>
      </c>
      <c r="AB524" s="2" t="s">
        <v>43</v>
      </c>
      <c r="AC524" t="s">
        <v>46</v>
      </c>
      <c r="AD524" t="s">
        <v>64</v>
      </c>
      <c r="AE524" t="s">
        <v>46</v>
      </c>
      <c r="AF524" t="s">
        <v>46</v>
      </c>
      <c r="AG524" t="s">
        <v>64</v>
      </c>
      <c r="AH524" s="2" t="s">
        <v>43</v>
      </c>
    </row>
    <row r="525" spans="1:34" ht="150">
      <c r="A525" s="6" t="s">
        <v>82</v>
      </c>
      <c r="B525" s="7">
        <v>46070</v>
      </c>
      <c r="C525" s="9" t="str">
        <f>HYPERLINK("https://eping.wto.org/en/Search?viewData= G/TBT/N/JPN/901"," G/TBT/N/JPN/901")</f>
        <v xml:space="preserve"> G/TBT/N/JPN/901</v>
      </c>
      <c r="D525" s="8" t="s">
        <v>2506</v>
      </c>
      <c r="E525" s="8" t="s">
        <v>2507</v>
      </c>
      <c r="F525" s="8" t="s">
        <v>2508</v>
      </c>
      <c r="G525" s="8" t="s">
        <v>43</v>
      </c>
      <c r="H525" s="8" t="s">
        <v>1075</v>
      </c>
      <c r="I525" s="8" t="s">
        <v>1124</v>
      </c>
      <c r="J525" s="8" t="s">
        <v>43</v>
      </c>
      <c r="K525" s="8" t="s">
        <v>43</v>
      </c>
      <c r="L525" s="6"/>
      <c r="M525" s="7">
        <v>46130</v>
      </c>
      <c r="N525" s="7" t="s">
        <v>2509</v>
      </c>
      <c r="O525" s="7" t="s">
        <v>2510</v>
      </c>
      <c r="P525" s="6" t="s">
        <v>62</v>
      </c>
      <c r="Q525" s="8" t="s">
        <v>2511</v>
      </c>
      <c r="R525" t="str">
        <f>HYPERLINK("https://docs.wto.org/imrd/directdoc.asp?DDFDocuments/t/G/TBTN26/JPN901.docx", "https://docs.wto.org/imrd/directdoc.asp?DDFDocuments/t/G/TBTN26/JPN901.docx")</f>
        <v>https://docs.wto.org/imrd/directdoc.asp?DDFDocuments/t/G/TBTN26/JPN901.docx</v>
      </c>
      <c r="S525" t="str">
        <f>HYPERLINK("https://docs.wto.org/imrd/directdoc.asp?DDFDocuments/u/G/TBTN26/JPN901.docx", "https://docs.wto.org/imrd/directdoc.asp?DDFDocuments/u/G/TBTN26/JPN901.docx")</f>
        <v>https://docs.wto.org/imrd/directdoc.asp?DDFDocuments/u/G/TBTN26/JPN901.docx</v>
      </c>
      <c r="T525" t="str">
        <f>HYPERLINK("https://docs.wto.org/imrd/directdoc.asp?DDFDocuments/v/G/TBTN26/JPN901.docx", "https://docs.wto.org/imrd/directdoc.asp?DDFDocuments/v/G/TBTN26/JPN901.docx")</f>
        <v>https://docs.wto.org/imrd/directdoc.asp?DDFDocuments/v/G/TBTN26/JPN901.docx</v>
      </c>
      <c r="U525" t="s">
        <v>64</v>
      </c>
      <c r="V525" t="s">
        <v>46</v>
      </c>
      <c r="W525" t="s">
        <v>46</v>
      </c>
      <c r="X525" t="s">
        <v>46</v>
      </c>
      <c r="Y525" t="s">
        <v>46</v>
      </c>
      <c r="Z525" t="s">
        <v>46</v>
      </c>
      <c r="AA525" t="s">
        <v>46</v>
      </c>
      <c r="AB525" s="2" t="s">
        <v>2512</v>
      </c>
      <c r="AC525" t="s">
        <v>43</v>
      </c>
      <c r="AD525" t="s">
        <v>43</v>
      </c>
      <c r="AE525" t="s">
        <v>43</v>
      </c>
      <c r="AF525" t="s">
        <v>43</v>
      </c>
      <c r="AG525" t="s">
        <v>43</v>
      </c>
      <c r="AH525" s="2" t="s">
        <v>43</v>
      </c>
    </row>
    <row r="526" spans="1:34" ht="195">
      <c r="A526" s="6" t="s">
        <v>356</v>
      </c>
      <c r="B526" s="7">
        <v>46070</v>
      </c>
      <c r="C526" s="9" t="str">
        <f>HYPERLINK("https://eping.wto.org/en/Search?viewData= G/TBT/N/EU/1190"," G/TBT/N/EU/1190")</f>
        <v xml:space="preserve"> G/TBT/N/EU/1190</v>
      </c>
      <c r="D526" s="8" t="s">
        <v>2513</v>
      </c>
      <c r="E526" s="8" t="s">
        <v>2514</v>
      </c>
      <c r="F526" s="8" t="s">
        <v>2515</v>
      </c>
      <c r="G526" s="8" t="s">
        <v>43</v>
      </c>
      <c r="H526" s="8" t="s">
        <v>2516</v>
      </c>
      <c r="I526" s="8" t="s">
        <v>2517</v>
      </c>
      <c r="J526" s="8" t="s">
        <v>43</v>
      </c>
      <c r="K526" s="8" t="s">
        <v>43</v>
      </c>
      <c r="L526" s="6"/>
      <c r="M526" s="7">
        <v>46130</v>
      </c>
      <c r="N526" s="7" t="s">
        <v>79</v>
      </c>
      <c r="O526" s="7" t="s">
        <v>2518</v>
      </c>
      <c r="P526" s="6" t="s">
        <v>62</v>
      </c>
      <c r="Q526" s="8" t="s">
        <v>2519</v>
      </c>
      <c r="R526" t="str">
        <f>HYPERLINK("https://docs.wto.org/imrd/directdoc.asp?DDFDocuments/t/G/TBTN26/EU1190.docx", "https://docs.wto.org/imrd/directdoc.asp?DDFDocuments/t/G/TBTN26/EU1190.docx")</f>
        <v>https://docs.wto.org/imrd/directdoc.asp?DDFDocuments/t/G/TBTN26/EU1190.docx</v>
      </c>
      <c r="S526" t="str">
        <f>HYPERLINK("https://docs.wto.org/imrd/directdoc.asp?DDFDocuments/u/G/TBTN26/EU1190.docx", "https://docs.wto.org/imrd/directdoc.asp?DDFDocuments/u/G/TBTN26/EU1190.docx")</f>
        <v>https://docs.wto.org/imrd/directdoc.asp?DDFDocuments/u/G/TBTN26/EU1190.docx</v>
      </c>
      <c r="T526" t="str">
        <f>HYPERLINK("https://docs.wto.org/imrd/directdoc.asp?DDFDocuments/v/G/TBTN26/EU1190.docx", "https://docs.wto.org/imrd/directdoc.asp?DDFDocuments/v/G/TBTN26/EU1190.docx")</f>
        <v>https://docs.wto.org/imrd/directdoc.asp?DDFDocuments/v/G/TBTN26/EU1190.docx</v>
      </c>
      <c r="U526" t="s">
        <v>64</v>
      </c>
      <c r="V526" t="s">
        <v>46</v>
      </c>
      <c r="W526" t="s">
        <v>64</v>
      </c>
      <c r="X526" t="s">
        <v>46</v>
      </c>
      <c r="Y526" t="s">
        <v>46</v>
      </c>
      <c r="Z526" t="s">
        <v>46</v>
      </c>
      <c r="AA526" t="s">
        <v>46</v>
      </c>
      <c r="AB526" s="2" t="s">
        <v>2520</v>
      </c>
      <c r="AC526" t="s">
        <v>43</v>
      </c>
      <c r="AD526" t="s">
        <v>43</v>
      </c>
      <c r="AE526" t="s">
        <v>43</v>
      </c>
      <c r="AF526" t="s">
        <v>43</v>
      </c>
      <c r="AG526" t="s">
        <v>43</v>
      </c>
      <c r="AH526" s="2" t="s">
        <v>43</v>
      </c>
    </row>
    <row r="527" spans="1:34" ht="409.5">
      <c r="A527" s="6" t="s">
        <v>356</v>
      </c>
      <c r="B527" s="7">
        <v>46070</v>
      </c>
      <c r="C527" s="9" t="str">
        <f>HYPERLINK("https://eping.wto.org/en/Search?viewData= G/TBT/N/EU/1189"," G/TBT/N/EU/1189")</f>
        <v xml:space="preserve"> G/TBT/N/EU/1189</v>
      </c>
      <c r="D527" s="8" t="s">
        <v>2521</v>
      </c>
      <c r="E527" s="8" t="s">
        <v>2522</v>
      </c>
      <c r="F527" s="8" t="s">
        <v>2523</v>
      </c>
      <c r="G527" s="8" t="s">
        <v>43</v>
      </c>
      <c r="H527" s="8" t="s">
        <v>2524</v>
      </c>
      <c r="I527" s="8" t="s">
        <v>2525</v>
      </c>
      <c r="J527" s="8" t="s">
        <v>43</v>
      </c>
      <c r="K527" s="8" t="s">
        <v>2526</v>
      </c>
      <c r="L527" s="6"/>
      <c r="M527" s="7">
        <v>46130</v>
      </c>
      <c r="N527" s="7" t="s">
        <v>79</v>
      </c>
      <c r="O527" s="7" t="s">
        <v>2527</v>
      </c>
      <c r="P527" s="6" t="s">
        <v>62</v>
      </c>
      <c r="Q527" s="8" t="s">
        <v>2528</v>
      </c>
      <c r="R527" t="str">
        <f>HYPERLINK("https://docs.wto.org/imrd/directdoc.asp?DDFDocuments/t/G/TBTN26/EU1189.docx", "https://docs.wto.org/imrd/directdoc.asp?DDFDocuments/t/G/TBTN26/EU1189.docx")</f>
        <v>https://docs.wto.org/imrd/directdoc.asp?DDFDocuments/t/G/TBTN26/EU1189.docx</v>
      </c>
      <c r="S527" t="str">
        <f>HYPERLINK("https://docs.wto.org/imrd/directdoc.asp?DDFDocuments/u/G/TBTN26/EU1189.docx", "https://docs.wto.org/imrd/directdoc.asp?DDFDocuments/u/G/TBTN26/EU1189.docx")</f>
        <v>https://docs.wto.org/imrd/directdoc.asp?DDFDocuments/u/G/TBTN26/EU1189.docx</v>
      </c>
      <c r="T527" t="str">
        <f>HYPERLINK("https://docs.wto.org/imrd/directdoc.asp?DDFDocuments/v/G/TBTN26/EU1189.docx", "https://docs.wto.org/imrd/directdoc.asp?DDFDocuments/v/G/TBTN26/EU1189.docx")</f>
        <v>https://docs.wto.org/imrd/directdoc.asp?DDFDocuments/v/G/TBTN26/EU1189.docx</v>
      </c>
      <c r="U527" t="s">
        <v>64</v>
      </c>
      <c r="V527" t="s">
        <v>46</v>
      </c>
      <c r="W527" t="s">
        <v>64</v>
      </c>
      <c r="X527" t="s">
        <v>46</v>
      </c>
      <c r="Y527" t="s">
        <v>46</v>
      </c>
      <c r="Z527" t="s">
        <v>46</v>
      </c>
      <c r="AA527" t="s">
        <v>46</v>
      </c>
      <c r="AB527" s="2" t="s">
        <v>2529</v>
      </c>
      <c r="AC527" t="s">
        <v>43</v>
      </c>
      <c r="AD527" t="s">
        <v>43</v>
      </c>
      <c r="AE527" t="s">
        <v>43</v>
      </c>
      <c r="AF527" t="s">
        <v>43</v>
      </c>
      <c r="AG527" t="s">
        <v>43</v>
      </c>
      <c r="AH527" s="2" t="s">
        <v>43</v>
      </c>
    </row>
    <row r="528" spans="1:34" ht="135">
      <c r="A528" s="6" t="s">
        <v>488</v>
      </c>
      <c r="B528" s="7">
        <v>46070</v>
      </c>
      <c r="C528" s="9" t="str">
        <f>HYPERLINK("https://eping.wto.org/en/Search?viewData= G/SPS/N/ZAF/88/Add.1"," G/SPS/N/ZAF/88/Add.1")</f>
        <v xml:space="preserve"> G/SPS/N/ZAF/88/Add.1</v>
      </c>
      <c r="D528" s="8" t="s">
        <v>2178</v>
      </c>
      <c r="E528" s="8" t="s">
        <v>2530</v>
      </c>
      <c r="F528" s="8" t="s">
        <v>2180</v>
      </c>
      <c r="G528" s="8" t="s">
        <v>2531</v>
      </c>
      <c r="H528" s="8" t="s">
        <v>2532</v>
      </c>
      <c r="I528" s="8" t="s">
        <v>58</v>
      </c>
      <c r="J528" s="8" t="s">
        <v>43</v>
      </c>
      <c r="K528" s="8" t="s">
        <v>2533</v>
      </c>
      <c r="L528" s="6"/>
      <c r="M528" s="7" t="s">
        <v>43</v>
      </c>
      <c r="N528" s="7"/>
      <c r="O528" s="7"/>
      <c r="P528" s="6" t="s">
        <v>44</v>
      </c>
      <c r="Q528" s="8" t="s">
        <v>2534</v>
      </c>
      <c r="R528" t="str">
        <f>HYPERLINK("https://docs.wto.org/imrd/directdoc.asp?DDFDocuments/t/G/SPS/NZAF88A1.docx", "https://docs.wto.org/imrd/directdoc.asp?DDFDocuments/t/G/SPS/NZAF88A1.docx")</f>
        <v>https://docs.wto.org/imrd/directdoc.asp?DDFDocuments/t/G/SPS/NZAF88A1.docx</v>
      </c>
      <c r="S528" t="str">
        <f>HYPERLINK("https://docs.wto.org/imrd/directdoc.asp?DDFDocuments/u/G/SPS/NZAF88A1.docx", "https://docs.wto.org/imrd/directdoc.asp?DDFDocuments/u/G/SPS/NZAF88A1.docx")</f>
        <v>https://docs.wto.org/imrd/directdoc.asp?DDFDocuments/u/G/SPS/NZAF88A1.docx</v>
      </c>
      <c r="T528" t="str">
        <f>HYPERLINK("https://docs.wto.org/imrd/directdoc.asp?DDFDocuments/v/G/SPS/NZAF88A1.docx", "https://docs.wto.org/imrd/directdoc.asp?DDFDocuments/v/G/SPS/NZAF88A1.docx")</f>
        <v>https://docs.wto.org/imrd/directdoc.asp?DDFDocuments/v/G/SPS/NZAF88A1.docx</v>
      </c>
      <c r="U528" t="s">
        <v>43</v>
      </c>
      <c r="V528" t="s">
        <v>43</v>
      </c>
      <c r="W528" t="s">
        <v>43</v>
      </c>
      <c r="X528" t="s">
        <v>43</v>
      </c>
      <c r="Y528" t="s">
        <v>43</v>
      </c>
      <c r="Z528" t="s">
        <v>43</v>
      </c>
      <c r="AA528" t="s">
        <v>43</v>
      </c>
      <c r="AB528" s="2" t="s">
        <v>43</v>
      </c>
      <c r="AC528" t="s">
        <v>43</v>
      </c>
      <c r="AD528" t="s">
        <v>43</v>
      </c>
      <c r="AE528" t="s">
        <v>43</v>
      </c>
      <c r="AF528" t="s">
        <v>43</v>
      </c>
      <c r="AG528" t="s">
        <v>43</v>
      </c>
      <c r="AH528" s="2" t="s">
        <v>43</v>
      </c>
    </row>
    <row r="529" spans="1:34" ht="195">
      <c r="A529" s="6" t="s">
        <v>132</v>
      </c>
      <c r="B529" s="7">
        <v>46069</v>
      </c>
      <c r="C529" s="9" t="str">
        <f>HYPERLINK("https://eping.wto.org/en/Search?viewData= G/SPS/N/USA/3550"," G/SPS/N/USA/3550")</f>
        <v xml:space="preserve"> G/SPS/N/USA/3550</v>
      </c>
      <c r="D529" s="8" t="s">
        <v>2535</v>
      </c>
      <c r="E529" s="8" t="s">
        <v>2536</v>
      </c>
      <c r="F529" s="8" t="s">
        <v>2537</v>
      </c>
      <c r="G529" s="8" t="s">
        <v>43</v>
      </c>
      <c r="H529" s="8" t="s">
        <v>43</v>
      </c>
      <c r="I529" s="8" t="s">
        <v>58</v>
      </c>
      <c r="J529" s="8" t="s">
        <v>43</v>
      </c>
      <c r="K529" s="8" t="s">
        <v>2538</v>
      </c>
      <c r="L529" s="6"/>
      <c r="M529" s="7" t="s">
        <v>43</v>
      </c>
      <c r="N529" s="7">
        <v>46066</v>
      </c>
      <c r="O529" s="7">
        <v>46066</v>
      </c>
      <c r="P529" s="6" t="s">
        <v>62</v>
      </c>
      <c r="Q529" s="8" t="s">
        <v>2539</v>
      </c>
      <c r="R529" t="str">
        <f>HYPERLINK("https://docs.wto.org/imrd/directdoc.asp?DDFDocuments/t/G/SPS/NUSA3550.docx", "https://docs.wto.org/imrd/directdoc.asp?DDFDocuments/t/G/SPS/NUSA3550.docx")</f>
        <v>https://docs.wto.org/imrd/directdoc.asp?DDFDocuments/t/G/SPS/NUSA3550.docx</v>
      </c>
      <c r="S529" t="str">
        <f>HYPERLINK("https://docs.wto.org/imrd/directdoc.asp?DDFDocuments/u/G/SPS/NUSA3550.docx", "https://docs.wto.org/imrd/directdoc.asp?DDFDocuments/u/G/SPS/NUSA3550.docx")</f>
        <v>https://docs.wto.org/imrd/directdoc.asp?DDFDocuments/u/G/SPS/NUSA3550.docx</v>
      </c>
      <c r="T529" t="str">
        <f>HYPERLINK("https://docs.wto.org/imrd/directdoc.asp?DDFDocuments/v/G/SPS/NUSA3550.docx", "https://docs.wto.org/imrd/directdoc.asp?DDFDocuments/v/G/SPS/NUSA3550.docx")</f>
        <v>https://docs.wto.org/imrd/directdoc.asp?DDFDocuments/v/G/SPS/NUSA3550.docx</v>
      </c>
      <c r="U529" t="s">
        <v>43</v>
      </c>
      <c r="V529" t="s">
        <v>43</v>
      </c>
      <c r="W529" t="s">
        <v>43</v>
      </c>
      <c r="X529" t="s">
        <v>43</v>
      </c>
      <c r="Y529" t="s">
        <v>43</v>
      </c>
      <c r="Z529" t="s">
        <v>43</v>
      </c>
      <c r="AA529" t="s">
        <v>43</v>
      </c>
      <c r="AB529" s="2" t="s">
        <v>43</v>
      </c>
      <c r="AC529" t="s">
        <v>64</v>
      </c>
      <c r="AD529" t="s">
        <v>46</v>
      </c>
      <c r="AE529" t="s">
        <v>46</v>
      </c>
      <c r="AF529" t="s">
        <v>46</v>
      </c>
      <c r="AG529" t="s">
        <v>46</v>
      </c>
      <c r="AH529" s="2" t="s">
        <v>2540</v>
      </c>
    </row>
    <row r="530" spans="1:34" ht="60">
      <c r="A530" s="6" t="s">
        <v>756</v>
      </c>
      <c r="B530" s="7">
        <v>46069</v>
      </c>
      <c r="C530" s="9" t="str">
        <f>HYPERLINK("https://eping.wto.org/en/Search?viewData= G/SPS/N/PER/1109"," G/SPS/N/PER/1109")</f>
        <v xml:space="preserve"> G/SPS/N/PER/1109</v>
      </c>
      <c r="D530" s="8" t="s">
        <v>2541</v>
      </c>
      <c r="E530" s="8" t="s">
        <v>2542</v>
      </c>
      <c r="F530" s="8" t="s">
        <v>2543</v>
      </c>
      <c r="G530" s="8" t="s">
        <v>2544</v>
      </c>
      <c r="H530" s="8" t="s">
        <v>43</v>
      </c>
      <c r="I530" s="8" t="s">
        <v>254</v>
      </c>
      <c r="J530" s="8" t="s">
        <v>43</v>
      </c>
      <c r="K530" s="8" t="s">
        <v>2469</v>
      </c>
      <c r="L530" s="6" t="s">
        <v>146</v>
      </c>
      <c r="M530" s="7">
        <v>46129</v>
      </c>
      <c r="N530" s="7" t="s">
        <v>79</v>
      </c>
      <c r="O530" s="7" t="s">
        <v>761</v>
      </c>
      <c r="P530" s="6" t="s">
        <v>62</v>
      </c>
      <c r="Q530" s="8" t="s">
        <v>2545</v>
      </c>
      <c r="R530" t="str">
        <f>HYPERLINK("https://docs.wto.org/imrd/directdoc.asp?DDFDocuments/t/G/SPS/NPER1109.docx", "https://docs.wto.org/imrd/directdoc.asp?DDFDocuments/t/G/SPS/NPER1109.docx")</f>
        <v>https://docs.wto.org/imrd/directdoc.asp?DDFDocuments/t/G/SPS/NPER1109.docx</v>
      </c>
      <c r="S530" t="str">
        <f>HYPERLINK("https://docs.wto.org/imrd/directdoc.asp?DDFDocuments/u/G/SPS/NPER1109.docx", "https://docs.wto.org/imrd/directdoc.asp?DDFDocuments/u/G/SPS/NPER1109.docx")</f>
        <v>https://docs.wto.org/imrd/directdoc.asp?DDFDocuments/u/G/SPS/NPER1109.docx</v>
      </c>
      <c r="T530" t="str">
        <f>HYPERLINK("https://docs.wto.org/imrd/directdoc.asp?DDFDocuments/v/G/SPS/NPER1109.docx", "https://docs.wto.org/imrd/directdoc.asp?DDFDocuments/v/G/SPS/NPER1109.docx")</f>
        <v>https://docs.wto.org/imrd/directdoc.asp?DDFDocuments/v/G/SPS/NPER1109.docx</v>
      </c>
      <c r="U530" t="s">
        <v>43</v>
      </c>
      <c r="V530" t="s">
        <v>43</v>
      </c>
      <c r="W530" t="s">
        <v>43</v>
      </c>
      <c r="X530" t="s">
        <v>43</v>
      </c>
      <c r="Y530" t="s">
        <v>43</v>
      </c>
      <c r="Z530" t="s">
        <v>43</v>
      </c>
      <c r="AA530" t="s">
        <v>43</v>
      </c>
      <c r="AB530" s="2" t="s">
        <v>43</v>
      </c>
      <c r="AC530" t="s">
        <v>46</v>
      </c>
      <c r="AD530" t="s">
        <v>46</v>
      </c>
      <c r="AE530" t="s">
        <v>64</v>
      </c>
      <c r="AF530" t="s">
        <v>46</v>
      </c>
      <c r="AG530" t="s">
        <v>64</v>
      </c>
      <c r="AH530" s="2" t="s">
        <v>43</v>
      </c>
    </row>
    <row r="531" spans="1:34" ht="180">
      <c r="A531" s="6" t="s">
        <v>1814</v>
      </c>
      <c r="B531" s="7">
        <v>46069</v>
      </c>
      <c r="C531" s="9" t="str">
        <f>HYPERLINK("https://eping.wto.org/en/Search?viewData= G/SPS/N/GBR/121"," G/SPS/N/GBR/121")</f>
        <v xml:space="preserve"> G/SPS/N/GBR/121</v>
      </c>
      <c r="D531" s="8" t="s">
        <v>2546</v>
      </c>
      <c r="E531" s="8" t="s">
        <v>2547</v>
      </c>
      <c r="F531" s="8" t="s">
        <v>2548</v>
      </c>
      <c r="G531" s="8" t="s">
        <v>43</v>
      </c>
      <c r="H531" s="8" t="s">
        <v>43</v>
      </c>
      <c r="I531" s="8" t="s">
        <v>58</v>
      </c>
      <c r="J531" s="8" t="s">
        <v>43</v>
      </c>
      <c r="K531" s="8" t="s">
        <v>2549</v>
      </c>
      <c r="L531" s="6" t="s">
        <v>43</v>
      </c>
      <c r="M531" s="7">
        <v>46129</v>
      </c>
      <c r="N531" s="7">
        <v>46186</v>
      </c>
      <c r="O531" s="7">
        <v>46369</v>
      </c>
      <c r="P531" s="6" t="s">
        <v>62</v>
      </c>
      <c r="Q531" s="8" t="s">
        <v>2550</v>
      </c>
      <c r="R531" t="str">
        <f>HYPERLINK("https://docs.wto.org/imrd/directdoc.asp?DDFDocuments/t/G/SPS/NGBR121.docx", "https://docs.wto.org/imrd/directdoc.asp?DDFDocuments/t/G/SPS/NGBR121.docx")</f>
        <v>https://docs.wto.org/imrd/directdoc.asp?DDFDocuments/t/G/SPS/NGBR121.docx</v>
      </c>
      <c r="S531" t="str">
        <f>HYPERLINK("https://docs.wto.org/imrd/directdoc.asp?DDFDocuments/u/G/SPS/NGBR121.docx", "https://docs.wto.org/imrd/directdoc.asp?DDFDocuments/u/G/SPS/NGBR121.docx")</f>
        <v>https://docs.wto.org/imrd/directdoc.asp?DDFDocuments/u/G/SPS/NGBR121.docx</v>
      </c>
      <c r="T531" t="str">
        <f>HYPERLINK("https://docs.wto.org/imrd/directdoc.asp?DDFDocuments/v/G/SPS/NGBR121.docx", "https://docs.wto.org/imrd/directdoc.asp?DDFDocuments/v/G/SPS/NGBR121.docx")</f>
        <v>https://docs.wto.org/imrd/directdoc.asp?DDFDocuments/v/G/SPS/NGBR121.docx</v>
      </c>
      <c r="U531" t="s">
        <v>43</v>
      </c>
      <c r="V531" t="s">
        <v>43</v>
      </c>
      <c r="W531" t="s">
        <v>43</v>
      </c>
      <c r="X531" t="s">
        <v>43</v>
      </c>
      <c r="Y531" t="s">
        <v>43</v>
      </c>
      <c r="Z531" t="s">
        <v>43</v>
      </c>
      <c r="AA531" t="s">
        <v>43</v>
      </c>
      <c r="AB531" s="2" t="s">
        <v>43</v>
      </c>
      <c r="AC531" t="s">
        <v>64</v>
      </c>
      <c r="AD531" t="s">
        <v>46</v>
      </c>
      <c r="AE531" t="s">
        <v>46</v>
      </c>
      <c r="AF531" t="s">
        <v>46</v>
      </c>
      <c r="AG531" t="s">
        <v>46</v>
      </c>
      <c r="AH531" s="2" t="s">
        <v>2551</v>
      </c>
    </row>
    <row r="532" spans="1:34" ht="60">
      <c r="A532" s="6" t="s">
        <v>756</v>
      </c>
      <c r="B532" s="7">
        <v>46069</v>
      </c>
      <c r="C532" s="9" t="str">
        <f>HYPERLINK("https://eping.wto.org/en/Search?viewData= G/SPS/N/PER/1110"," G/SPS/N/PER/1110")</f>
        <v xml:space="preserve"> G/SPS/N/PER/1110</v>
      </c>
      <c r="D532" s="8" t="s">
        <v>2552</v>
      </c>
      <c r="E532" s="8" t="s">
        <v>2553</v>
      </c>
      <c r="F532" s="8" t="s">
        <v>2554</v>
      </c>
      <c r="G532" s="8" t="s">
        <v>2544</v>
      </c>
      <c r="H532" s="8" t="s">
        <v>43</v>
      </c>
      <c r="I532" s="8" t="s">
        <v>254</v>
      </c>
      <c r="J532" s="8" t="s">
        <v>43</v>
      </c>
      <c r="K532" s="8" t="s">
        <v>302</v>
      </c>
      <c r="L532" s="6" t="s">
        <v>289</v>
      </c>
      <c r="M532" s="7">
        <v>46129</v>
      </c>
      <c r="N532" s="7" t="s">
        <v>79</v>
      </c>
      <c r="O532" s="7" t="s">
        <v>761</v>
      </c>
      <c r="P532" s="6" t="s">
        <v>62</v>
      </c>
      <c r="Q532" s="8" t="s">
        <v>2555</v>
      </c>
      <c r="R532" t="str">
        <f>HYPERLINK("https://docs.wto.org/imrd/directdoc.asp?DDFDocuments/t/G/SPS/NPER1110.docx", "https://docs.wto.org/imrd/directdoc.asp?DDFDocuments/t/G/SPS/NPER1110.docx")</f>
        <v>https://docs.wto.org/imrd/directdoc.asp?DDFDocuments/t/G/SPS/NPER1110.docx</v>
      </c>
      <c r="S532" t="str">
        <f>HYPERLINK("https://docs.wto.org/imrd/directdoc.asp?DDFDocuments/u/G/SPS/NPER1110.docx", "https://docs.wto.org/imrd/directdoc.asp?DDFDocuments/u/G/SPS/NPER1110.docx")</f>
        <v>https://docs.wto.org/imrd/directdoc.asp?DDFDocuments/u/G/SPS/NPER1110.docx</v>
      </c>
      <c r="T532" t="str">
        <f>HYPERLINK("https://docs.wto.org/imrd/directdoc.asp?DDFDocuments/v/G/SPS/NPER1110.docx", "https://docs.wto.org/imrd/directdoc.asp?DDFDocuments/v/G/SPS/NPER1110.docx")</f>
        <v>https://docs.wto.org/imrd/directdoc.asp?DDFDocuments/v/G/SPS/NPER1110.docx</v>
      </c>
      <c r="U532" t="s">
        <v>43</v>
      </c>
      <c r="V532" t="s">
        <v>43</v>
      </c>
      <c r="W532" t="s">
        <v>43</v>
      </c>
      <c r="X532" t="s">
        <v>43</v>
      </c>
      <c r="Y532" t="s">
        <v>43</v>
      </c>
      <c r="Z532" t="s">
        <v>43</v>
      </c>
      <c r="AA532" t="s">
        <v>43</v>
      </c>
      <c r="AB532" s="2" t="s">
        <v>43</v>
      </c>
      <c r="AC532" t="s">
        <v>46</v>
      </c>
      <c r="AD532" t="s">
        <v>46</v>
      </c>
      <c r="AE532" t="s">
        <v>64</v>
      </c>
      <c r="AF532" t="s">
        <v>46</v>
      </c>
      <c r="AG532" t="s">
        <v>64</v>
      </c>
      <c r="AH532" s="2" t="s">
        <v>43</v>
      </c>
    </row>
    <row r="533" spans="1:34" ht="409.5">
      <c r="A533" s="6" t="s">
        <v>82</v>
      </c>
      <c r="B533" s="7">
        <v>46069</v>
      </c>
      <c r="C533" s="9" t="str">
        <f>HYPERLINK("https://eping.wto.org/en/Search?viewData= G/SPS/N/JPN/1388"," G/SPS/N/JPN/1388")</f>
        <v xml:space="preserve"> G/SPS/N/JPN/1388</v>
      </c>
      <c r="D533" s="8" t="s">
        <v>2556</v>
      </c>
      <c r="E533" s="8" t="s">
        <v>2557</v>
      </c>
      <c r="F533" s="8" t="s">
        <v>2558</v>
      </c>
      <c r="G533" s="8" t="s">
        <v>2559</v>
      </c>
      <c r="H533" s="8" t="s">
        <v>43</v>
      </c>
      <c r="I533" s="8" t="s">
        <v>58</v>
      </c>
      <c r="J533" s="8" t="s">
        <v>43</v>
      </c>
      <c r="K533" s="8" t="s">
        <v>2538</v>
      </c>
      <c r="L533" s="6" t="s">
        <v>43</v>
      </c>
      <c r="M533" s="7" t="s">
        <v>43</v>
      </c>
      <c r="N533" s="7" t="s">
        <v>2560</v>
      </c>
      <c r="O533" s="7" t="s">
        <v>2561</v>
      </c>
      <c r="P533" s="6" t="s">
        <v>62</v>
      </c>
      <c r="Q533" s="8" t="s">
        <v>2562</v>
      </c>
      <c r="R533" t="str">
        <f>HYPERLINK("https://docs.wto.org/imrd/directdoc.asp?DDFDocuments/t/G/SPS/NJPN1388.docx", "https://docs.wto.org/imrd/directdoc.asp?DDFDocuments/t/G/SPS/NJPN1388.docx")</f>
        <v>https://docs.wto.org/imrd/directdoc.asp?DDFDocuments/t/G/SPS/NJPN1388.docx</v>
      </c>
      <c r="S533" t="str">
        <f>HYPERLINK("https://docs.wto.org/imrd/directdoc.asp?DDFDocuments/u/G/SPS/NJPN1388.docx", "https://docs.wto.org/imrd/directdoc.asp?DDFDocuments/u/G/SPS/NJPN1388.docx")</f>
        <v>https://docs.wto.org/imrd/directdoc.asp?DDFDocuments/u/G/SPS/NJPN1388.docx</v>
      </c>
      <c r="T533" t="str">
        <f>HYPERLINK("https://docs.wto.org/imrd/directdoc.asp?DDFDocuments/v/G/SPS/NJPN1388.docx", "https://docs.wto.org/imrd/directdoc.asp?DDFDocuments/v/G/SPS/NJPN1388.docx")</f>
        <v>https://docs.wto.org/imrd/directdoc.asp?DDFDocuments/v/G/SPS/NJPN1388.docx</v>
      </c>
      <c r="U533" t="s">
        <v>43</v>
      </c>
      <c r="V533" t="s">
        <v>43</v>
      </c>
      <c r="W533" t="s">
        <v>43</v>
      </c>
      <c r="X533" t="s">
        <v>43</v>
      </c>
      <c r="Y533" t="s">
        <v>43</v>
      </c>
      <c r="Z533" t="s">
        <v>43</v>
      </c>
      <c r="AA533" t="s">
        <v>43</v>
      </c>
      <c r="AB533" s="2" t="s">
        <v>43</v>
      </c>
      <c r="AC533" t="s">
        <v>64</v>
      </c>
      <c r="AD533" t="s">
        <v>46</v>
      </c>
      <c r="AE533" t="s">
        <v>46</v>
      </c>
      <c r="AF533" t="s">
        <v>46</v>
      </c>
      <c r="AG533" t="s">
        <v>46</v>
      </c>
      <c r="AH533" s="2" t="s">
        <v>2563</v>
      </c>
    </row>
    <row r="534" spans="1:34" ht="135">
      <c r="A534" s="6" t="s">
        <v>1814</v>
      </c>
      <c r="B534" s="7">
        <v>46069</v>
      </c>
      <c r="C534" s="9" t="str">
        <f>HYPERLINK("https://eping.wto.org/en/Search?viewData= G/SPS/N/GBR/120"," G/SPS/N/GBR/120")</f>
        <v xml:space="preserve"> G/SPS/N/GBR/120</v>
      </c>
      <c r="D534" s="8" t="s">
        <v>2564</v>
      </c>
      <c r="E534" s="8" t="s">
        <v>2565</v>
      </c>
      <c r="F534" s="8" t="s">
        <v>2566</v>
      </c>
      <c r="G534" s="8" t="s">
        <v>43</v>
      </c>
      <c r="H534" s="8" t="s">
        <v>43</v>
      </c>
      <c r="I534" s="8" t="s">
        <v>58</v>
      </c>
      <c r="J534" s="8" t="s">
        <v>43</v>
      </c>
      <c r="K534" s="8" t="s">
        <v>2538</v>
      </c>
      <c r="L534" s="6" t="s">
        <v>43</v>
      </c>
      <c r="M534" s="7" t="s">
        <v>43</v>
      </c>
      <c r="N534" s="7">
        <v>46044</v>
      </c>
      <c r="O534" s="7">
        <v>46044</v>
      </c>
      <c r="P534" s="6" t="s">
        <v>62</v>
      </c>
      <c r="Q534" s="8" t="s">
        <v>2567</v>
      </c>
      <c r="R534" t="str">
        <f>HYPERLINK("https://docs.wto.org/imrd/directdoc.asp?DDFDocuments/t/G/SPS/NGBR120.docx", "https://docs.wto.org/imrd/directdoc.asp?DDFDocuments/t/G/SPS/NGBR120.docx")</f>
        <v>https://docs.wto.org/imrd/directdoc.asp?DDFDocuments/t/G/SPS/NGBR120.docx</v>
      </c>
      <c r="S534" t="str">
        <f>HYPERLINK("https://docs.wto.org/imrd/directdoc.asp?DDFDocuments/u/G/SPS/NGBR120.docx", "https://docs.wto.org/imrd/directdoc.asp?DDFDocuments/u/G/SPS/NGBR120.docx")</f>
        <v>https://docs.wto.org/imrd/directdoc.asp?DDFDocuments/u/G/SPS/NGBR120.docx</v>
      </c>
      <c r="T534" t="str">
        <f>HYPERLINK("https://docs.wto.org/imrd/directdoc.asp?DDFDocuments/v/G/SPS/NGBR120.docx", "https://docs.wto.org/imrd/directdoc.asp?DDFDocuments/v/G/SPS/NGBR120.docx")</f>
        <v>https://docs.wto.org/imrd/directdoc.asp?DDFDocuments/v/G/SPS/NGBR120.docx</v>
      </c>
      <c r="U534" t="s">
        <v>43</v>
      </c>
      <c r="V534" t="s">
        <v>43</v>
      </c>
      <c r="W534" t="s">
        <v>43</v>
      </c>
      <c r="X534" t="s">
        <v>43</v>
      </c>
      <c r="Y534" t="s">
        <v>43</v>
      </c>
      <c r="Z534" t="s">
        <v>43</v>
      </c>
      <c r="AA534" t="s">
        <v>43</v>
      </c>
      <c r="AB534" s="2" t="s">
        <v>43</v>
      </c>
      <c r="AC534" t="s">
        <v>64</v>
      </c>
      <c r="AD534" t="s">
        <v>46</v>
      </c>
      <c r="AE534" t="s">
        <v>46</v>
      </c>
      <c r="AF534" t="s">
        <v>46</v>
      </c>
      <c r="AG534" t="s">
        <v>46</v>
      </c>
      <c r="AH534" s="2" t="s">
        <v>2568</v>
      </c>
    </row>
    <row r="535" spans="1:34" ht="60">
      <c r="A535" s="6" t="s">
        <v>2569</v>
      </c>
      <c r="B535" s="7">
        <v>46069</v>
      </c>
      <c r="C535" s="9" t="str">
        <f>HYPERLINK("https://eping.wto.org/en/Search?viewData= G/TBT/N/JOR/92"," G/TBT/N/JOR/92")</f>
        <v xml:space="preserve"> G/TBT/N/JOR/92</v>
      </c>
      <c r="D535" s="8" t="s">
        <v>2570</v>
      </c>
      <c r="E535" s="8" t="s">
        <v>2571</v>
      </c>
      <c r="F535" s="8" t="s">
        <v>2572</v>
      </c>
      <c r="G535" s="8" t="s">
        <v>43</v>
      </c>
      <c r="H535" s="8" t="s">
        <v>1985</v>
      </c>
      <c r="I535" s="8" t="s">
        <v>2050</v>
      </c>
      <c r="J535" s="8" t="s">
        <v>43</v>
      </c>
      <c r="K535" s="8" t="s">
        <v>240</v>
      </c>
      <c r="L535" s="6"/>
      <c r="M535" s="7">
        <v>46129</v>
      </c>
      <c r="N535" s="7">
        <v>46096</v>
      </c>
      <c r="O535" s="7">
        <v>46157</v>
      </c>
      <c r="P535" s="6" t="s">
        <v>62</v>
      </c>
      <c r="Q535" s="8" t="s">
        <v>2573</v>
      </c>
      <c r="R535" t="str">
        <f>HYPERLINK("https://docs.wto.org/imrd/directdoc.asp?DDFDocuments/t/G/TBTN26/JOR92.docx", "https://docs.wto.org/imrd/directdoc.asp?DDFDocuments/t/G/TBTN26/JOR92.docx")</f>
        <v>https://docs.wto.org/imrd/directdoc.asp?DDFDocuments/t/G/TBTN26/JOR92.docx</v>
      </c>
      <c r="S535" t="str">
        <f>HYPERLINK("https://docs.wto.org/imrd/directdoc.asp?DDFDocuments/u/G/TBTN26/JOR92.docx", "https://docs.wto.org/imrd/directdoc.asp?DDFDocuments/u/G/TBTN26/JOR92.docx")</f>
        <v>https://docs.wto.org/imrd/directdoc.asp?DDFDocuments/u/G/TBTN26/JOR92.docx</v>
      </c>
      <c r="T535" t="str">
        <f>HYPERLINK("https://docs.wto.org/imrd/directdoc.asp?DDFDocuments/v/G/TBTN26/JOR92.docx", "https://docs.wto.org/imrd/directdoc.asp?DDFDocuments/v/G/TBTN26/JOR92.docx")</f>
        <v>https://docs.wto.org/imrd/directdoc.asp?DDFDocuments/v/G/TBTN26/JOR92.docx</v>
      </c>
      <c r="U535" t="s">
        <v>64</v>
      </c>
      <c r="V535" t="s">
        <v>46</v>
      </c>
      <c r="W535" t="s">
        <v>46</v>
      </c>
      <c r="X535" t="s">
        <v>46</v>
      </c>
      <c r="Y535" t="s">
        <v>46</v>
      </c>
      <c r="Z535" t="s">
        <v>46</v>
      </c>
      <c r="AA535" t="s">
        <v>46</v>
      </c>
      <c r="AB535" s="2" t="s">
        <v>2574</v>
      </c>
      <c r="AC535" t="s">
        <v>43</v>
      </c>
      <c r="AD535" t="s">
        <v>43</v>
      </c>
      <c r="AE535" t="s">
        <v>43</v>
      </c>
      <c r="AF535" t="s">
        <v>43</v>
      </c>
      <c r="AG535" t="s">
        <v>43</v>
      </c>
      <c r="AH535" s="2" t="s">
        <v>43</v>
      </c>
    </row>
    <row r="536" spans="1:34" ht="195">
      <c r="A536" s="6" t="s">
        <v>132</v>
      </c>
      <c r="B536" s="7">
        <v>46069</v>
      </c>
      <c r="C536" s="9" t="str">
        <f>HYPERLINK("https://eping.wto.org/en/Search?viewData= G/SPS/N/USA/3549"," G/SPS/N/USA/3549")</f>
        <v xml:space="preserve"> G/SPS/N/USA/3549</v>
      </c>
      <c r="D536" s="8" t="s">
        <v>2575</v>
      </c>
      <c r="E536" s="8" t="s">
        <v>2576</v>
      </c>
      <c r="F536" s="8" t="s">
        <v>2577</v>
      </c>
      <c r="G536" s="8" t="s">
        <v>43</v>
      </c>
      <c r="H536" s="8" t="s">
        <v>43</v>
      </c>
      <c r="I536" s="8" t="s">
        <v>58</v>
      </c>
      <c r="J536" s="8" t="s">
        <v>43</v>
      </c>
      <c r="K536" s="8" t="s">
        <v>2538</v>
      </c>
      <c r="L536" s="6"/>
      <c r="M536" s="7" t="s">
        <v>43</v>
      </c>
      <c r="N536" s="7">
        <v>46066</v>
      </c>
      <c r="O536" s="7">
        <v>46066</v>
      </c>
      <c r="P536" s="6" t="s">
        <v>62</v>
      </c>
      <c r="Q536" s="8" t="s">
        <v>2578</v>
      </c>
      <c r="R536" t="str">
        <f>HYPERLINK("https://docs.wto.org/imrd/directdoc.asp?DDFDocuments/t/G/SPS/NUSA3549.docx", "https://docs.wto.org/imrd/directdoc.asp?DDFDocuments/t/G/SPS/NUSA3549.docx")</f>
        <v>https://docs.wto.org/imrd/directdoc.asp?DDFDocuments/t/G/SPS/NUSA3549.docx</v>
      </c>
      <c r="S536" t="str">
        <f>HYPERLINK("https://docs.wto.org/imrd/directdoc.asp?DDFDocuments/u/G/SPS/NUSA3549.docx", "https://docs.wto.org/imrd/directdoc.asp?DDFDocuments/u/G/SPS/NUSA3549.docx")</f>
        <v>https://docs.wto.org/imrd/directdoc.asp?DDFDocuments/u/G/SPS/NUSA3549.docx</v>
      </c>
      <c r="T536" t="str">
        <f>HYPERLINK("https://docs.wto.org/imrd/directdoc.asp?DDFDocuments/v/G/SPS/NUSA3549.docx", "https://docs.wto.org/imrd/directdoc.asp?DDFDocuments/v/G/SPS/NUSA3549.docx")</f>
        <v>https://docs.wto.org/imrd/directdoc.asp?DDFDocuments/v/G/SPS/NUSA3549.docx</v>
      </c>
      <c r="U536" t="s">
        <v>43</v>
      </c>
      <c r="V536" t="s">
        <v>43</v>
      </c>
      <c r="W536" t="s">
        <v>43</v>
      </c>
      <c r="X536" t="s">
        <v>43</v>
      </c>
      <c r="Y536" t="s">
        <v>43</v>
      </c>
      <c r="Z536" t="s">
        <v>43</v>
      </c>
      <c r="AA536" t="s">
        <v>43</v>
      </c>
      <c r="AB536" s="2" t="s">
        <v>43</v>
      </c>
      <c r="AC536" t="s">
        <v>64</v>
      </c>
      <c r="AD536" t="s">
        <v>46</v>
      </c>
      <c r="AE536" t="s">
        <v>46</v>
      </c>
      <c r="AF536" t="s">
        <v>46</v>
      </c>
      <c r="AG536" t="s">
        <v>46</v>
      </c>
      <c r="AH536" s="2" t="s">
        <v>2579</v>
      </c>
    </row>
    <row r="537" spans="1:34" ht="105">
      <c r="A537" s="6" t="s">
        <v>82</v>
      </c>
      <c r="B537" s="7">
        <v>46069</v>
      </c>
      <c r="C537" s="9" t="str">
        <f>HYPERLINK("https://eping.wto.org/en/Search?viewData= G/SPS/N/JPN/1390"," G/SPS/N/JPN/1390")</f>
        <v xml:space="preserve"> G/SPS/N/JPN/1390</v>
      </c>
      <c r="D537" s="8" t="s">
        <v>2556</v>
      </c>
      <c r="E537" s="8" t="s">
        <v>2580</v>
      </c>
      <c r="F537" s="8" t="s">
        <v>2581</v>
      </c>
      <c r="G537" s="8" t="s">
        <v>2582</v>
      </c>
      <c r="H537" s="8" t="s">
        <v>43</v>
      </c>
      <c r="I537" s="8" t="s">
        <v>58</v>
      </c>
      <c r="J537" s="8" t="s">
        <v>43</v>
      </c>
      <c r="K537" s="8" t="s">
        <v>2538</v>
      </c>
      <c r="L537" s="6" t="s">
        <v>43</v>
      </c>
      <c r="M537" s="7">
        <v>46129</v>
      </c>
      <c r="N537" s="7" t="s">
        <v>2583</v>
      </c>
      <c r="O537" s="7" t="s">
        <v>2584</v>
      </c>
      <c r="P537" s="6" t="s">
        <v>62</v>
      </c>
      <c r="Q537" s="8" t="s">
        <v>2585</v>
      </c>
      <c r="R537" t="str">
        <f>HYPERLINK("https://docs.wto.org/imrd/directdoc.asp?DDFDocuments/t/G/SPS/NJPN1390.docx", "https://docs.wto.org/imrd/directdoc.asp?DDFDocuments/t/G/SPS/NJPN1390.docx")</f>
        <v>https://docs.wto.org/imrd/directdoc.asp?DDFDocuments/t/G/SPS/NJPN1390.docx</v>
      </c>
      <c r="S537" t="str">
        <f>HYPERLINK("https://docs.wto.org/imrd/directdoc.asp?DDFDocuments/u/G/SPS/NJPN1390.docx", "https://docs.wto.org/imrd/directdoc.asp?DDFDocuments/u/G/SPS/NJPN1390.docx")</f>
        <v>https://docs.wto.org/imrd/directdoc.asp?DDFDocuments/u/G/SPS/NJPN1390.docx</v>
      </c>
      <c r="T537" t="str">
        <f>HYPERLINK("https://docs.wto.org/imrd/directdoc.asp?DDFDocuments/v/G/SPS/NJPN1390.docx", "https://docs.wto.org/imrd/directdoc.asp?DDFDocuments/v/G/SPS/NJPN1390.docx")</f>
        <v>https://docs.wto.org/imrd/directdoc.asp?DDFDocuments/v/G/SPS/NJPN1390.docx</v>
      </c>
      <c r="U537" t="s">
        <v>43</v>
      </c>
      <c r="V537" t="s">
        <v>43</v>
      </c>
      <c r="W537" t="s">
        <v>43</v>
      </c>
      <c r="X537" t="s">
        <v>43</v>
      </c>
      <c r="Y537" t="s">
        <v>43</v>
      </c>
      <c r="Z537" t="s">
        <v>43</v>
      </c>
      <c r="AA537" t="s">
        <v>43</v>
      </c>
      <c r="AB537" s="2" t="s">
        <v>43</v>
      </c>
      <c r="AC537" t="s">
        <v>46</v>
      </c>
      <c r="AD537" t="s">
        <v>46</v>
      </c>
      <c r="AE537" t="s">
        <v>46</v>
      </c>
      <c r="AF537" t="s">
        <v>64</v>
      </c>
      <c r="AG537" t="s">
        <v>99</v>
      </c>
      <c r="AH537" s="2" t="s">
        <v>43</v>
      </c>
    </row>
    <row r="538" spans="1:34" ht="30">
      <c r="A538" s="6" t="s">
        <v>1799</v>
      </c>
      <c r="B538" s="7">
        <v>46069</v>
      </c>
      <c r="C538" s="9" t="str">
        <f>HYPERLINK("https://eping.wto.org/en/Search?viewData= G/TBT/N/ARE/696, G/TBT/N/BHR/774, G/TBT/N/KWT/758, G/TBT/N/OMN/597, G/TBT/N/QAT/748, G/TBT/N/SAU/1430"," G/TBT/N/ARE/696, G/TBT/N/BHR/774, G/TBT/N/KWT/758, G/TBT/N/OMN/597, G/TBT/N/QAT/748, G/TBT/N/SAU/1430")</f>
        <v xml:space="preserve"> G/TBT/N/ARE/696, G/TBT/N/BHR/774, G/TBT/N/KWT/758, G/TBT/N/OMN/597, G/TBT/N/QAT/748, G/TBT/N/SAU/1430</v>
      </c>
      <c r="D538" s="8" t="s">
        <v>2586</v>
      </c>
      <c r="E538" s="8" t="s">
        <v>2587</v>
      </c>
      <c r="F538" s="8" t="s">
        <v>2588</v>
      </c>
      <c r="G538" s="8" t="s">
        <v>43</v>
      </c>
      <c r="H538" s="8" t="s">
        <v>2589</v>
      </c>
      <c r="I538" s="8" t="s">
        <v>2590</v>
      </c>
      <c r="J538" s="8" t="s">
        <v>43</v>
      </c>
      <c r="K538" s="8" t="s">
        <v>240</v>
      </c>
      <c r="L538" s="6"/>
      <c r="M538" s="7">
        <v>46129</v>
      </c>
      <c r="N538" s="7" t="s">
        <v>79</v>
      </c>
      <c r="O538" s="7" t="s">
        <v>79</v>
      </c>
      <c r="P538" s="6" t="s">
        <v>62</v>
      </c>
      <c r="Q538" s="8" t="s">
        <v>2591</v>
      </c>
      <c r="R538" t="str">
        <f>HYPERLINK("https://docs.wto.org/imrd/directdoc.asp?DDFDocuments/t/G/TBTN26/ARE696.docx", "https://docs.wto.org/imrd/directdoc.asp?DDFDocuments/t/G/TBTN26/ARE696.docx")</f>
        <v>https://docs.wto.org/imrd/directdoc.asp?DDFDocuments/t/G/TBTN26/ARE696.docx</v>
      </c>
      <c r="S538" t="str">
        <f>HYPERLINK("https://docs.wto.org/imrd/directdoc.asp?DDFDocuments/u/G/TBTN26/ARE696.docx", "https://docs.wto.org/imrd/directdoc.asp?DDFDocuments/u/G/TBTN26/ARE696.docx")</f>
        <v>https://docs.wto.org/imrd/directdoc.asp?DDFDocuments/u/G/TBTN26/ARE696.docx</v>
      </c>
      <c r="T538" t="str">
        <f>HYPERLINK("https://docs.wto.org/imrd/directdoc.asp?DDFDocuments/v/G/TBTN26/ARE696.docx", "https://docs.wto.org/imrd/directdoc.asp?DDFDocuments/v/G/TBTN26/ARE696.docx")</f>
        <v>https://docs.wto.org/imrd/directdoc.asp?DDFDocuments/v/G/TBTN26/ARE696.docx</v>
      </c>
      <c r="U538" t="s">
        <v>64</v>
      </c>
      <c r="V538" t="s">
        <v>46</v>
      </c>
      <c r="W538" t="s">
        <v>46</v>
      </c>
      <c r="X538" t="s">
        <v>46</v>
      </c>
      <c r="Y538" t="s">
        <v>46</v>
      </c>
      <c r="Z538" t="s">
        <v>46</v>
      </c>
      <c r="AA538" t="s">
        <v>46</v>
      </c>
      <c r="AB538" s="2" t="s">
        <v>43</v>
      </c>
      <c r="AC538" t="s">
        <v>43</v>
      </c>
      <c r="AD538" t="s">
        <v>43</v>
      </c>
      <c r="AE538" t="s">
        <v>43</v>
      </c>
      <c r="AF538" t="s">
        <v>43</v>
      </c>
      <c r="AG538" t="s">
        <v>43</v>
      </c>
      <c r="AH538" s="2" t="s">
        <v>43</v>
      </c>
    </row>
    <row r="539" spans="1:34" ht="195">
      <c r="A539" s="6" t="s">
        <v>249</v>
      </c>
      <c r="B539" s="7">
        <v>46069</v>
      </c>
      <c r="C539" s="9" t="str">
        <f>HYPERLINK("https://eping.wto.org/en/Search?viewData= G/SPS/N/COL/394/Add.1"," G/SPS/N/COL/394/Add.1")</f>
        <v xml:space="preserve"> G/SPS/N/COL/394/Add.1</v>
      </c>
      <c r="D539" s="8" t="s">
        <v>2592</v>
      </c>
      <c r="E539" s="8" t="s">
        <v>2592</v>
      </c>
      <c r="F539" s="8" t="s">
        <v>2593</v>
      </c>
      <c r="G539" s="8" t="s">
        <v>2594</v>
      </c>
      <c r="H539" s="8" t="s">
        <v>43</v>
      </c>
      <c r="I539" s="8" t="s">
        <v>2595</v>
      </c>
      <c r="J539" s="8" t="s">
        <v>43</v>
      </c>
      <c r="K539" s="8" t="s">
        <v>2596</v>
      </c>
      <c r="L539" s="6"/>
      <c r="M539" s="7" t="s">
        <v>43</v>
      </c>
      <c r="N539" s="7"/>
      <c r="O539" s="7"/>
      <c r="P539" s="6" t="s">
        <v>44</v>
      </c>
      <c r="Q539" s="8" t="s">
        <v>2597</v>
      </c>
      <c r="R539" t="str">
        <f>HYPERLINK("https://docs.wto.org/imrd/directdoc.asp?DDFDocuments/t/G/SPS/NCOL394A1.docx", "https://docs.wto.org/imrd/directdoc.asp?DDFDocuments/t/G/SPS/NCOL394A1.docx")</f>
        <v>https://docs.wto.org/imrd/directdoc.asp?DDFDocuments/t/G/SPS/NCOL394A1.docx</v>
      </c>
      <c r="S539" t="str">
        <f>HYPERLINK("https://docs.wto.org/imrd/directdoc.asp?DDFDocuments/u/G/SPS/NCOL394A1.docx", "https://docs.wto.org/imrd/directdoc.asp?DDFDocuments/u/G/SPS/NCOL394A1.docx")</f>
        <v>https://docs.wto.org/imrd/directdoc.asp?DDFDocuments/u/G/SPS/NCOL394A1.docx</v>
      </c>
      <c r="T539" t="str">
        <f>HYPERLINK("https://docs.wto.org/imrd/directdoc.asp?DDFDocuments/v/G/SPS/NCOL394A1.docx", "https://docs.wto.org/imrd/directdoc.asp?DDFDocuments/v/G/SPS/NCOL394A1.docx")</f>
        <v>https://docs.wto.org/imrd/directdoc.asp?DDFDocuments/v/G/SPS/NCOL394A1.docx</v>
      </c>
      <c r="U539" t="s">
        <v>43</v>
      </c>
      <c r="V539" t="s">
        <v>43</v>
      </c>
      <c r="W539" t="s">
        <v>43</v>
      </c>
      <c r="X539" t="s">
        <v>43</v>
      </c>
      <c r="Y539" t="s">
        <v>43</v>
      </c>
      <c r="Z539" t="s">
        <v>43</v>
      </c>
      <c r="AA539" t="s">
        <v>43</v>
      </c>
      <c r="AB539" s="2" t="s">
        <v>43</v>
      </c>
      <c r="AC539" t="s">
        <v>43</v>
      </c>
      <c r="AD539" t="s">
        <v>43</v>
      </c>
      <c r="AE539" t="s">
        <v>43</v>
      </c>
      <c r="AF539" t="s">
        <v>43</v>
      </c>
      <c r="AG539" t="s">
        <v>43</v>
      </c>
      <c r="AH539" s="2" t="s">
        <v>43</v>
      </c>
    </row>
    <row r="540" spans="1:34" ht="255">
      <c r="A540" s="6" t="s">
        <v>82</v>
      </c>
      <c r="B540" s="7">
        <v>46069</v>
      </c>
      <c r="C540" s="9" t="str">
        <f>HYPERLINK("https://eping.wto.org/en/Search?viewData= G/SPS/N/JPN/1387"," G/SPS/N/JPN/1387")</f>
        <v xml:space="preserve"> G/SPS/N/JPN/1387</v>
      </c>
      <c r="D540" s="8" t="s">
        <v>2556</v>
      </c>
      <c r="E540" s="8" t="s">
        <v>2598</v>
      </c>
      <c r="F540" s="8" t="s">
        <v>2599</v>
      </c>
      <c r="G540" s="8" t="s">
        <v>2600</v>
      </c>
      <c r="H540" s="8" t="s">
        <v>43</v>
      </c>
      <c r="I540" s="8" t="s">
        <v>58</v>
      </c>
      <c r="J540" s="8" t="s">
        <v>43</v>
      </c>
      <c r="K540" s="8" t="s">
        <v>2549</v>
      </c>
      <c r="L540" s="6" t="s">
        <v>43</v>
      </c>
      <c r="M540" s="7">
        <v>46129</v>
      </c>
      <c r="N540" s="7" t="s">
        <v>2583</v>
      </c>
      <c r="O540" s="7" t="s">
        <v>2584</v>
      </c>
      <c r="P540" s="6" t="s">
        <v>62</v>
      </c>
      <c r="Q540" s="8" t="s">
        <v>2601</v>
      </c>
      <c r="R540" t="str">
        <f>HYPERLINK("https://docs.wto.org/imrd/directdoc.asp?DDFDocuments/t/G/SPS/NJPN1387.docx", "https://docs.wto.org/imrd/directdoc.asp?DDFDocuments/t/G/SPS/NJPN1387.docx")</f>
        <v>https://docs.wto.org/imrd/directdoc.asp?DDFDocuments/t/G/SPS/NJPN1387.docx</v>
      </c>
      <c r="S540" t="str">
        <f>HYPERLINK("https://docs.wto.org/imrd/directdoc.asp?DDFDocuments/u/G/SPS/NJPN1387.docx", "https://docs.wto.org/imrd/directdoc.asp?DDFDocuments/u/G/SPS/NJPN1387.docx")</f>
        <v>https://docs.wto.org/imrd/directdoc.asp?DDFDocuments/u/G/SPS/NJPN1387.docx</v>
      </c>
      <c r="T540" t="str">
        <f>HYPERLINK("https://docs.wto.org/imrd/directdoc.asp?DDFDocuments/v/G/SPS/NJPN1387.docx", "https://docs.wto.org/imrd/directdoc.asp?DDFDocuments/v/G/SPS/NJPN1387.docx")</f>
        <v>https://docs.wto.org/imrd/directdoc.asp?DDFDocuments/v/G/SPS/NJPN1387.docx</v>
      </c>
      <c r="U540" t="s">
        <v>43</v>
      </c>
      <c r="V540" t="s">
        <v>43</v>
      </c>
      <c r="W540" t="s">
        <v>43</v>
      </c>
      <c r="X540" t="s">
        <v>43</v>
      </c>
      <c r="Y540" t="s">
        <v>43</v>
      </c>
      <c r="Z540" t="s">
        <v>43</v>
      </c>
      <c r="AA540" t="s">
        <v>43</v>
      </c>
      <c r="AB540" s="2" t="s">
        <v>43</v>
      </c>
      <c r="AC540" t="s">
        <v>46</v>
      </c>
      <c r="AD540" t="s">
        <v>46</v>
      </c>
      <c r="AE540" t="s">
        <v>46</v>
      </c>
      <c r="AF540" t="s">
        <v>64</v>
      </c>
      <c r="AG540" t="s">
        <v>99</v>
      </c>
      <c r="AH540" s="2" t="s">
        <v>43</v>
      </c>
    </row>
    <row r="541" spans="1:34" ht="30">
      <c r="A541" s="6" t="s">
        <v>1856</v>
      </c>
      <c r="B541" s="7">
        <v>46069</v>
      </c>
      <c r="C541" s="9" t="str">
        <f>HYPERLINK("https://eping.wto.org/en/Search?viewData= G/TBT/N/ARE/696, G/TBT/N/BHR/774, G/TBT/N/KWT/758, G/TBT/N/OMN/597, G/TBT/N/QAT/748, G/TBT/N/SAU/1430"," G/TBT/N/ARE/696, G/TBT/N/BHR/774, G/TBT/N/KWT/758, G/TBT/N/OMN/597, G/TBT/N/QAT/748, G/TBT/N/SAU/1430")</f>
        <v xml:space="preserve"> G/TBT/N/ARE/696, G/TBT/N/BHR/774, G/TBT/N/KWT/758, G/TBT/N/OMN/597, G/TBT/N/QAT/748, G/TBT/N/SAU/1430</v>
      </c>
      <c r="D541" s="8" t="s">
        <v>2586</v>
      </c>
      <c r="E541" s="8" t="s">
        <v>2587</v>
      </c>
      <c r="F541" s="8" t="s">
        <v>2588</v>
      </c>
      <c r="G541" s="8" t="s">
        <v>43</v>
      </c>
      <c r="H541" s="8" t="s">
        <v>2589</v>
      </c>
      <c r="I541" s="8" t="s">
        <v>2590</v>
      </c>
      <c r="J541" s="8" t="s">
        <v>43</v>
      </c>
      <c r="K541" s="8" t="s">
        <v>240</v>
      </c>
      <c r="L541" s="6"/>
      <c r="M541" s="7">
        <v>46129</v>
      </c>
      <c r="N541" s="7" t="s">
        <v>79</v>
      </c>
      <c r="O541" s="7" t="s">
        <v>79</v>
      </c>
      <c r="P541" s="6" t="s">
        <v>62</v>
      </c>
      <c r="Q541" s="8" t="s">
        <v>2591</v>
      </c>
      <c r="R541" t="str">
        <f>HYPERLINK("https://docs.wto.org/imrd/directdoc.asp?DDFDocuments/t/G/TBTN26/ARE696.docx", "https://docs.wto.org/imrd/directdoc.asp?DDFDocuments/t/G/TBTN26/ARE696.docx")</f>
        <v>https://docs.wto.org/imrd/directdoc.asp?DDFDocuments/t/G/TBTN26/ARE696.docx</v>
      </c>
      <c r="S541" t="str">
        <f>HYPERLINK("https://docs.wto.org/imrd/directdoc.asp?DDFDocuments/u/G/TBTN26/ARE696.docx", "https://docs.wto.org/imrd/directdoc.asp?DDFDocuments/u/G/TBTN26/ARE696.docx")</f>
        <v>https://docs.wto.org/imrd/directdoc.asp?DDFDocuments/u/G/TBTN26/ARE696.docx</v>
      </c>
      <c r="T541" t="str">
        <f>HYPERLINK("https://docs.wto.org/imrd/directdoc.asp?DDFDocuments/v/G/TBTN26/ARE696.docx", "https://docs.wto.org/imrd/directdoc.asp?DDFDocuments/v/G/TBTN26/ARE696.docx")</f>
        <v>https://docs.wto.org/imrd/directdoc.asp?DDFDocuments/v/G/TBTN26/ARE696.docx</v>
      </c>
      <c r="U541" t="s">
        <v>64</v>
      </c>
      <c r="V541" t="s">
        <v>46</v>
      </c>
      <c r="W541" t="s">
        <v>46</v>
      </c>
      <c r="X541" t="s">
        <v>46</v>
      </c>
      <c r="Y541" t="s">
        <v>46</v>
      </c>
      <c r="Z541" t="s">
        <v>46</v>
      </c>
      <c r="AA541" t="s">
        <v>46</v>
      </c>
      <c r="AB541" s="2" t="s">
        <v>43</v>
      </c>
      <c r="AC541" t="s">
        <v>43</v>
      </c>
      <c r="AD541" t="s">
        <v>43</v>
      </c>
      <c r="AE541" t="s">
        <v>43</v>
      </c>
      <c r="AF541" t="s">
        <v>43</v>
      </c>
      <c r="AG541" t="s">
        <v>43</v>
      </c>
      <c r="AH541" s="2" t="s">
        <v>43</v>
      </c>
    </row>
    <row r="542" spans="1:34" ht="409.5">
      <c r="A542" s="6" t="s">
        <v>82</v>
      </c>
      <c r="B542" s="7">
        <v>46069</v>
      </c>
      <c r="C542" s="9" t="str">
        <f>HYPERLINK("https://eping.wto.org/en/Search?viewData= G/SPS/N/JPN/1391"," G/SPS/N/JPN/1391")</f>
        <v xml:space="preserve"> G/SPS/N/JPN/1391</v>
      </c>
      <c r="D542" s="8" t="s">
        <v>2556</v>
      </c>
      <c r="E542" s="8" t="s">
        <v>2602</v>
      </c>
      <c r="F542" s="8" t="s">
        <v>2603</v>
      </c>
      <c r="G542" s="8" t="s">
        <v>2604</v>
      </c>
      <c r="H542" s="8" t="s">
        <v>43</v>
      </c>
      <c r="I542" s="8" t="s">
        <v>58</v>
      </c>
      <c r="J542" s="8" t="s">
        <v>43</v>
      </c>
      <c r="K542" s="8" t="s">
        <v>2538</v>
      </c>
      <c r="L542" s="6" t="s">
        <v>43</v>
      </c>
      <c r="M542" s="7">
        <v>46129</v>
      </c>
      <c r="N542" s="7" t="s">
        <v>2583</v>
      </c>
      <c r="O542" s="7" t="s">
        <v>2584</v>
      </c>
      <c r="P542" s="6" t="s">
        <v>62</v>
      </c>
      <c r="Q542" s="8" t="s">
        <v>2605</v>
      </c>
      <c r="R542" t="str">
        <f>HYPERLINK("https://docs.wto.org/imrd/directdoc.asp?DDFDocuments/t/G/SPS/NJPN1391.docx", "https://docs.wto.org/imrd/directdoc.asp?DDFDocuments/t/G/SPS/NJPN1391.docx")</f>
        <v>https://docs.wto.org/imrd/directdoc.asp?DDFDocuments/t/G/SPS/NJPN1391.docx</v>
      </c>
      <c r="S542" t="str">
        <f>HYPERLINK("https://docs.wto.org/imrd/directdoc.asp?DDFDocuments/u/G/SPS/NJPN1391.docx", "https://docs.wto.org/imrd/directdoc.asp?DDFDocuments/u/G/SPS/NJPN1391.docx")</f>
        <v>https://docs.wto.org/imrd/directdoc.asp?DDFDocuments/u/G/SPS/NJPN1391.docx</v>
      </c>
      <c r="T542" t="str">
        <f>HYPERLINK("https://docs.wto.org/imrd/directdoc.asp?DDFDocuments/v/G/SPS/NJPN1391.docx", "https://docs.wto.org/imrd/directdoc.asp?DDFDocuments/v/G/SPS/NJPN1391.docx")</f>
        <v>https://docs.wto.org/imrd/directdoc.asp?DDFDocuments/v/G/SPS/NJPN1391.docx</v>
      </c>
      <c r="U542" t="s">
        <v>43</v>
      </c>
      <c r="V542" t="s">
        <v>43</v>
      </c>
      <c r="W542" t="s">
        <v>43</v>
      </c>
      <c r="X542" t="s">
        <v>43</v>
      </c>
      <c r="Y542" t="s">
        <v>43</v>
      </c>
      <c r="Z542" t="s">
        <v>43</v>
      </c>
      <c r="AA542" t="s">
        <v>43</v>
      </c>
      <c r="AB542" s="2" t="s">
        <v>43</v>
      </c>
      <c r="AC542" t="s">
        <v>46</v>
      </c>
      <c r="AD542" t="s">
        <v>46</v>
      </c>
      <c r="AE542" t="s">
        <v>46</v>
      </c>
      <c r="AF542" t="s">
        <v>64</v>
      </c>
      <c r="AG542" t="s">
        <v>99</v>
      </c>
      <c r="AH542" s="2" t="s">
        <v>43</v>
      </c>
    </row>
    <row r="543" spans="1:34" ht="270">
      <c r="A543" s="6" t="s">
        <v>132</v>
      </c>
      <c r="B543" s="7">
        <v>46069</v>
      </c>
      <c r="C543" s="9" t="str">
        <f>HYPERLINK("https://eping.wto.org/en/Search?viewData= G/TBT/N/USA/517/Add.10"," G/TBT/N/USA/517/Add.10")</f>
        <v xml:space="preserve"> G/TBT/N/USA/517/Add.10</v>
      </c>
      <c r="D543" s="8" t="s">
        <v>2606</v>
      </c>
      <c r="E543" s="8" t="s">
        <v>2607</v>
      </c>
      <c r="F543" s="8" t="s">
        <v>2608</v>
      </c>
      <c r="G543" s="8" t="s">
        <v>43</v>
      </c>
      <c r="H543" s="8" t="s">
        <v>2609</v>
      </c>
      <c r="I543" s="8" t="s">
        <v>275</v>
      </c>
      <c r="J543" s="8" t="s">
        <v>2610</v>
      </c>
      <c r="K543" s="8" t="s">
        <v>43</v>
      </c>
      <c r="L543" s="6"/>
      <c r="M543" s="7" t="s">
        <v>43</v>
      </c>
      <c r="N543" s="7"/>
      <c r="O543" s="7"/>
      <c r="P543" s="6" t="s">
        <v>44</v>
      </c>
      <c r="Q543" s="8" t="s">
        <v>2611</v>
      </c>
      <c r="R543" t="str">
        <f>HYPERLINK("https://docs.wto.org/imrd/directdoc.asp?DDFDocuments/t/G/TBTN10/USA517A10.docx", "https://docs.wto.org/imrd/directdoc.asp?DDFDocuments/t/G/TBTN10/USA517A10.docx")</f>
        <v>https://docs.wto.org/imrd/directdoc.asp?DDFDocuments/t/G/TBTN10/USA517A10.docx</v>
      </c>
      <c r="S543" t="str">
        <f>HYPERLINK("https://docs.wto.org/imrd/directdoc.asp?DDFDocuments/u/G/TBTN10/USA517A10.docx", "https://docs.wto.org/imrd/directdoc.asp?DDFDocuments/u/G/TBTN10/USA517A10.docx")</f>
        <v>https://docs.wto.org/imrd/directdoc.asp?DDFDocuments/u/G/TBTN10/USA517A10.docx</v>
      </c>
      <c r="T543" t="str">
        <f>HYPERLINK("https://docs.wto.org/imrd/directdoc.asp?DDFDocuments/v/G/TBTN10/USA517A10.docx", "https://docs.wto.org/imrd/directdoc.asp?DDFDocuments/v/G/TBTN10/USA517A10.docx")</f>
        <v>https://docs.wto.org/imrd/directdoc.asp?DDFDocuments/v/G/TBTN10/USA517A10.docx</v>
      </c>
      <c r="U543" t="s">
        <v>64</v>
      </c>
      <c r="V543" t="s">
        <v>46</v>
      </c>
      <c r="W543" t="s">
        <v>46</v>
      </c>
      <c r="X543" t="s">
        <v>46</v>
      </c>
      <c r="Y543" t="s">
        <v>46</v>
      </c>
      <c r="Z543" t="s">
        <v>46</v>
      </c>
      <c r="AA543" t="s">
        <v>46</v>
      </c>
      <c r="AB543" s="2" t="s">
        <v>43</v>
      </c>
      <c r="AC543" t="s">
        <v>43</v>
      </c>
      <c r="AD543" t="s">
        <v>43</v>
      </c>
      <c r="AE543" t="s">
        <v>43</v>
      </c>
      <c r="AF543" t="s">
        <v>43</v>
      </c>
      <c r="AG543" t="s">
        <v>43</v>
      </c>
      <c r="AH543" s="2" t="s">
        <v>43</v>
      </c>
    </row>
    <row r="544" spans="1:34" ht="120">
      <c r="A544" s="6" t="s">
        <v>1814</v>
      </c>
      <c r="B544" s="7">
        <v>46069</v>
      </c>
      <c r="C544" s="9" t="str">
        <f>HYPERLINK("https://eping.wto.org/en/Search?viewData= G/SPS/N/GBR/118"," G/SPS/N/GBR/118")</f>
        <v xml:space="preserve"> G/SPS/N/GBR/118</v>
      </c>
      <c r="D544" s="8" t="s">
        <v>2612</v>
      </c>
      <c r="E544" s="8" t="s">
        <v>2613</v>
      </c>
      <c r="F544" s="8" t="s">
        <v>2282</v>
      </c>
      <c r="G544" s="8" t="s">
        <v>43</v>
      </c>
      <c r="H544" s="8" t="s">
        <v>43</v>
      </c>
      <c r="I544" s="8" t="s">
        <v>58</v>
      </c>
      <c r="J544" s="8" t="s">
        <v>43</v>
      </c>
      <c r="K544" s="8" t="s">
        <v>2549</v>
      </c>
      <c r="L544" s="6" t="s">
        <v>43</v>
      </c>
      <c r="M544" s="7" t="s">
        <v>43</v>
      </c>
      <c r="N544" s="7">
        <v>46038</v>
      </c>
      <c r="O544" s="7">
        <v>46038</v>
      </c>
      <c r="P544" s="6" t="s">
        <v>62</v>
      </c>
      <c r="Q544" s="8" t="s">
        <v>2614</v>
      </c>
      <c r="R544" t="str">
        <f>HYPERLINK("https://docs.wto.org/imrd/directdoc.asp?DDFDocuments/t/G/SPS/NGBR118.docx", "https://docs.wto.org/imrd/directdoc.asp?DDFDocuments/t/G/SPS/NGBR118.docx")</f>
        <v>https://docs.wto.org/imrd/directdoc.asp?DDFDocuments/t/G/SPS/NGBR118.docx</v>
      </c>
      <c r="S544" t="str">
        <f>HYPERLINK("https://docs.wto.org/imrd/directdoc.asp?DDFDocuments/u/G/SPS/NGBR118.docx", "https://docs.wto.org/imrd/directdoc.asp?DDFDocuments/u/G/SPS/NGBR118.docx")</f>
        <v>https://docs.wto.org/imrd/directdoc.asp?DDFDocuments/u/G/SPS/NGBR118.docx</v>
      </c>
      <c r="T544" t="str">
        <f>HYPERLINK("https://docs.wto.org/imrd/directdoc.asp?DDFDocuments/v/G/SPS/NGBR118.docx", "https://docs.wto.org/imrd/directdoc.asp?DDFDocuments/v/G/SPS/NGBR118.docx")</f>
        <v>https://docs.wto.org/imrd/directdoc.asp?DDFDocuments/v/G/SPS/NGBR118.docx</v>
      </c>
      <c r="U544" t="s">
        <v>43</v>
      </c>
      <c r="V544" t="s">
        <v>43</v>
      </c>
      <c r="W544" t="s">
        <v>43</v>
      </c>
      <c r="X544" t="s">
        <v>43</v>
      </c>
      <c r="Y544" t="s">
        <v>43</v>
      </c>
      <c r="Z544" t="s">
        <v>43</v>
      </c>
      <c r="AA544" t="s">
        <v>43</v>
      </c>
      <c r="AB544" s="2" t="s">
        <v>43</v>
      </c>
      <c r="AC544" t="s">
        <v>46</v>
      </c>
      <c r="AD544" t="s">
        <v>46</v>
      </c>
      <c r="AE544" t="s">
        <v>46</v>
      </c>
      <c r="AF544" t="s">
        <v>64</v>
      </c>
      <c r="AG544" t="s">
        <v>99</v>
      </c>
      <c r="AH544" s="2" t="s">
        <v>43</v>
      </c>
    </row>
    <row r="545" spans="1:34" ht="210">
      <c r="A545" s="6" t="s">
        <v>132</v>
      </c>
      <c r="B545" s="7">
        <v>46069</v>
      </c>
      <c r="C545" s="9" t="str">
        <f>HYPERLINK("https://eping.wto.org/en/Search?viewData= G/TBT/N/USA/1697/Add.4/Corr.3"," G/TBT/N/USA/1697/Add.4/Corr.3")</f>
        <v xml:space="preserve"> G/TBT/N/USA/1697/Add.4/Corr.3</v>
      </c>
      <c r="D545" s="8" t="s">
        <v>2615</v>
      </c>
      <c r="E545" s="8" t="s">
        <v>2616</v>
      </c>
      <c r="F545" s="8" t="s">
        <v>2617</v>
      </c>
      <c r="G545" s="8" t="s">
        <v>2618</v>
      </c>
      <c r="H545" s="8" t="s">
        <v>2619</v>
      </c>
      <c r="I545" s="8" t="s">
        <v>1261</v>
      </c>
      <c r="J545" s="8" t="s">
        <v>43</v>
      </c>
      <c r="K545" s="8" t="s">
        <v>43</v>
      </c>
      <c r="L545" s="6"/>
      <c r="M545" s="7" t="s">
        <v>43</v>
      </c>
      <c r="N545" s="7"/>
      <c r="O545" s="7"/>
      <c r="P545" s="6" t="s">
        <v>296</v>
      </c>
      <c r="Q545" s="8" t="s">
        <v>2620</v>
      </c>
      <c r="R545" t="str">
        <f>HYPERLINK("https://docs.wto.org/imrd/directdoc.asp?DDFDocuments/t/G/TBTN21/USA1697A4C3.docx", "https://docs.wto.org/imrd/directdoc.asp?DDFDocuments/t/G/TBTN21/USA1697A4C3.docx")</f>
        <v>https://docs.wto.org/imrd/directdoc.asp?DDFDocuments/t/G/TBTN21/USA1697A4C3.docx</v>
      </c>
      <c r="S545" t="str">
        <f>HYPERLINK("https://docs.wto.org/imrd/directdoc.asp?DDFDocuments/u/G/TBTN21/USA1697A4C3.docx", "https://docs.wto.org/imrd/directdoc.asp?DDFDocuments/u/G/TBTN21/USA1697A4C3.docx")</f>
        <v>https://docs.wto.org/imrd/directdoc.asp?DDFDocuments/u/G/TBTN21/USA1697A4C3.docx</v>
      </c>
      <c r="T545" t="str">
        <f>HYPERLINK("https://docs.wto.org/imrd/directdoc.asp?DDFDocuments/v/G/TBTN21/USA1697A4C3.docx", "https://docs.wto.org/imrd/directdoc.asp?DDFDocuments/v/G/TBTN21/USA1697A4C3.docx")</f>
        <v>https://docs.wto.org/imrd/directdoc.asp?DDFDocuments/v/G/TBTN21/USA1697A4C3.docx</v>
      </c>
      <c r="U545" t="s">
        <v>46</v>
      </c>
      <c r="V545" t="s">
        <v>46</v>
      </c>
      <c r="W545" t="s">
        <v>46</v>
      </c>
      <c r="X545" t="s">
        <v>46</v>
      </c>
      <c r="Y545" t="s">
        <v>46</v>
      </c>
      <c r="Z545" t="s">
        <v>46</v>
      </c>
      <c r="AA545" t="s">
        <v>64</v>
      </c>
      <c r="AB545" s="2" t="s">
        <v>43</v>
      </c>
      <c r="AC545" t="s">
        <v>43</v>
      </c>
      <c r="AD545" t="s">
        <v>43</v>
      </c>
      <c r="AE545" t="s">
        <v>43</v>
      </c>
      <c r="AF545" t="s">
        <v>43</v>
      </c>
      <c r="AG545" t="s">
        <v>43</v>
      </c>
      <c r="AH545" s="2" t="s">
        <v>43</v>
      </c>
    </row>
    <row r="546" spans="1:34" ht="45">
      <c r="A546" s="6" t="s">
        <v>2569</v>
      </c>
      <c r="B546" s="7">
        <v>46069</v>
      </c>
      <c r="C546" s="9" t="str">
        <f>HYPERLINK("https://eping.wto.org/en/Search?viewData= G/TBT/N/JOR/93"," G/TBT/N/JOR/93")</f>
        <v xml:space="preserve"> G/TBT/N/JOR/93</v>
      </c>
      <c r="D546" s="8" t="s">
        <v>2621</v>
      </c>
      <c r="E546" s="8" t="s">
        <v>2622</v>
      </c>
      <c r="F546" s="8" t="s">
        <v>2623</v>
      </c>
      <c r="G546" s="8" t="s">
        <v>43</v>
      </c>
      <c r="H546" s="8" t="s">
        <v>2624</v>
      </c>
      <c r="I546" s="8" t="s">
        <v>2625</v>
      </c>
      <c r="J546" s="8" t="s">
        <v>43</v>
      </c>
      <c r="K546" s="8" t="s">
        <v>240</v>
      </c>
      <c r="L546" s="6"/>
      <c r="M546" s="7">
        <v>46129</v>
      </c>
      <c r="N546" s="7">
        <v>46096</v>
      </c>
      <c r="O546" s="7">
        <v>46188</v>
      </c>
      <c r="P546" s="6" t="s">
        <v>62</v>
      </c>
      <c r="Q546" s="8" t="s">
        <v>2626</v>
      </c>
      <c r="R546" t="str">
        <f>HYPERLINK("https://docs.wto.org/imrd/directdoc.asp?DDFDocuments/t/G/TBTN26/JOR93.docx", "https://docs.wto.org/imrd/directdoc.asp?DDFDocuments/t/G/TBTN26/JOR93.docx")</f>
        <v>https://docs.wto.org/imrd/directdoc.asp?DDFDocuments/t/G/TBTN26/JOR93.docx</v>
      </c>
      <c r="S546" t="str">
        <f>HYPERLINK("https://docs.wto.org/imrd/directdoc.asp?DDFDocuments/u/G/TBTN26/JOR93.docx", "https://docs.wto.org/imrd/directdoc.asp?DDFDocuments/u/G/TBTN26/JOR93.docx")</f>
        <v>https://docs.wto.org/imrd/directdoc.asp?DDFDocuments/u/G/TBTN26/JOR93.docx</v>
      </c>
      <c r="T546" t="str">
        <f>HYPERLINK("https://docs.wto.org/imrd/directdoc.asp?DDFDocuments/v/G/TBTN26/JOR93.docx", "https://docs.wto.org/imrd/directdoc.asp?DDFDocuments/v/G/TBTN26/JOR93.docx")</f>
        <v>https://docs.wto.org/imrd/directdoc.asp?DDFDocuments/v/G/TBTN26/JOR93.docx</v>
      </c>
      <c r="U546" t="s">
        <v>64</v>
      </c>
      <c r="V546" t="s">
        <v>46</v>
      </c>
      <c r="W546" t="s">
        <v>46</v>
      </c>
      <c r="X546" t="s">
        <v>46</v>
      </c>
      <c r="Y546" t="s">
        <v>46</v>
      </c>
      <c r="Z546" t="s">
        <v>46</v>
      </c>
      <c r="AA546" t="s">
        <v>46</v>
      </c>
      <c r="AB546" s="2" t="s">
        <v>2627</v>
      </c>
      <c r="AC546" t="s">
        <v>43</v>
      </c>
      <c r="AD546" t="s">
        <v>43</v>
      </c>
      <c r="AE546" t="s">
        <v>43</v>
      </c>
      <c r="AF546" t="s">
        <v>43</v>
      </c>
      <c r="AG546" t="s">
        <v>43</v>
      </c>
      <c r="AH546" s="2" t="s">
        <v>43</v>
      </c>
    </row>
    <row r="547" spans="1:34" ht="30">
      <c r="A547" s="6" t="s">
        <v>1834</v>
      </c>
      <c r="B547" s="7">
        <v>46069</v>
      </c>
      <c r="C547" s="9" t="str">
        <f>HYPERLINK("https://eping.wto.org/en/Search?viewData= G/TBT/N/ARE/696, G/TBT/N/BHR/774, G/TBT/N/KWT/758, G/TBT/N/OMN/597, G/TBT/N/QAT/748, G/TBT/N/SAU/1430"," G/TBT/N/ARE/696, G/TBT/N/BHR/774, G/TBT/N/KWT/758, G/TBT/N/OMN/597, G/TBT/N/QAT/748, G/TBT/N/SAU/1430")</f>
        <v xml:space="preserve"> G/TBT/N/ARE/696, G/TBT/N/BHR/774, G/TBT/N/KWT/758, G/TBT/N/OMN/597, G/TBT/N/QAT/748, G/TBT/N/SAU/1430</v>
      </c>
      <c r="D547" s="8" t="s">
        <v>2586</v>
      </c>
      <c r="E547" s="8" t="s">
        <v>2587</v>
      </c>
      <c r="F547" s="8" t="s">
        <v>2588</v>
      </c>
      <c r="G547" s="8" t="s">
        <v>43</v>
      </c>
      <c r="H547" s="8" t="s">
        <v>2589</v>
      </c>
      <c r="I547" s="8" t="s">
        <v>2590</v>
      </c>
      <c r="J547" s="8" t="s">
        <v>43</v>
      </c>
      <c r="K547" s="8" t="s">
        <v>240</v>
      </c>
      <c r="L547" s="6"/>
      <c r="M547" s="7">
        <v>46129</v>
      </c>
      <c r="N547" s="7" t="s">
        <v>79</v>
      </c>
      <c r="O547" s="7" t="s">
        <v>79</v>
      </c>
      <c r="P547" s="6" t="s">
        <v>62</v>
      </c>
      <c r="Q547" s="8" t="s">
        <v>2591</v>
      </c>
      <c r="R547" t="str">
        <f>HYPERLINK("https://docs.wto.org/imrd/directdoc.asp?DDFDocuments/t/G/TBTN26/ARE696.docx", "https://docs.wto.org/imrd/directdoc.asp?DDFDocuments/t/G/TBTN26/ARE696.docx")</f>
        <v>https://docs.wto.org/imrd/directdoc.asp?DDFDocuments/t/G/TBTN26/ARE696.docx</v>
      </c>
      <c r="S547" t="str">
        <f>HYPERLINK("https://docs.wto.org/imrd/directdoc.asp?DDFDocuments/u/G/TBTN26/ARE696.docx", "https://docs.wto.org/imrd/directdoc.asp?DDFDocuments/u/G/TBTN26/ARE696.docx")</f>
        <v>https://docs.wto.org/imrd/directdoc.asp?DDFDocuments/u/G/TBTN26/ARE696.docx</v>
      </c>
      <c r="T547" t="str">
        <f>HYPERLINK("https://docs.wto.org/imrd/directdoc.asp?DDFDocuments/v/G/TBTN26/ARE696.docx", "https://docs.wto.org/imrd/directdoc.asp?DDFDocuments/v/G/TBTN26/ARE696.docx")</f>
        <v>https://docs.wto.org/imrd/directdoc.asp?DDFDocuments/v/G/TBTN26/ARE696.docx</v>
      </c>
      <c r="U547" t="s">
        <v>64</v>
      </c>
      <c r="V547" t="s">
        <v>46</v>
      </c>
      <c r="W547" t="s">
        <v>46</v>
      </c>
      <c r="X547" t="s">
        <v>46</v>
      </c>
      <c r="Y547" t="s">
        <v>46</v>
      </c>
      <c r="Z547" t="s">
        <v>46</v>
      </c>
      <c r="AA547" t="s">
        <v>46</v>
      </c>
      <c r="AB547" s="2" t="s">
        <v>43</v>
      </c>
      <c r="AC547" t="s">
        <v>43</v>
      </c>
      <c r="AD547" t="s">
        <v>43</v>
      </c>
      <c r="AE547" t="s">
        <v>43</v>
      </c>
      <c r="AF547" t="s">
        <v>43</v>
      </c>
      <c r="AG547" t="s">
        <v>43</v>
      </c>
      <c r="AH547" s="2" t="s">
        <v>43</v>
      </c>
    </row>
    <row r="548" spans="1:34" ht="30">
      <c r="A548" s="6" t="s">
        <v>1886</v>
      </c>
      <c r="B548" s="7">
        <v>46069</v>
      </c>
      <c r="C548" s="9" t="str">
        <f>HYPERLINK("https://eping.wto.org/en/Search?viewData= G/TBT/N/ARE/696, G/TBT/N/BHR/774, G/TBT/N/KWT/758, G/TBT/N/OMN/597, G/TBT/N/QAT/748, G/TBT/N/SAU/1430"," G/TBT/N/ARE/696, G/TBT/N/BHR/774, G/TBT/N/KWT/758, G/TBT/N/OMN/597, G/TBT/N/QAT/748, G/TBT/N/SAU/1430")</f>
        <v xml:space="preserve"> G/TBT/N/ARE/696, G/TBT/N/BHR/774, G/TBT/N/KWT/758, G/TBT/N/OMN/597, G/TBT/N/QAT/748, G/TBT/N/SAU/1430</v>
      </c>
      <c r="D548" s="8" t="s">
        <v>2586</v>
      </c>
      <c r="E548" s="8" t="s">
        <v>2587</v>
      </c>
      <c r="F548" s="8" t="s">
        <v>2588</v>
      </c>
      <c r="G548" s="8" t="s">
        <v>43</v>
      </c>
      <c r="H548" s="8" t="s">
        <v>2589</v>
      </c>
      <c r="I548" s="8" t="s">
        <v>2590</v>
      </c>
      <c r="J548" s="8" t="s">
        <v>43</v>
      </c>
      <c r="K548" s="8" t="s">
        <v>240</v>
      </c>
      <c r="L548" s="6"/>
      <c r="M548" s="7">
        <v>46129</v>
      </c>
      <c r="N548" s="7" t="s">
        <v>79</v>
      </c>
      <c r="O548" s="7" t="s">
        <v>79</v>
      </c>
      <c r="P548" s="6" t="s">
        <v>62</v>
      </c>
      <c r="Q548" s="8" t="s">
        <v>2591</v>
      </c>
      <c r="R548" t="str">
        <f>HYPERLINK("https://docs.wto.org/imrd/directdoc.asp?DDFDocuments/t/G/TBTN26/ARE696.docx", "https://docs.wto.org/imrd/directdoc.asp?DDFDocuments/t/G/TBTN26/ARE696.docx")</f>
        <v>https://docs.wto.org/imrd/directdoc.asp?DDFDocuments/t/G/TBTN26/ARE696.docx</v>
      </c>
      <c r="S548" t="str">
        <f>HYPERLINK("https://docs.wto.org/imrd/directdoc.asp?DDFDocuments/u/G/TBTN26/ARE696.docx", "https://docs.wto.org/imrd/directdoc.asp?DDFDocuments/u/G/TBTN26/ARE696.docx")</f>
        <v>https://docs.wto.org/imrd/directdoc.asp?DDFDocuments/u/G/TBTN26/ARE696.docx</v>
      </c>
      <c r="T548" t="str">
        <f>HYPERLINK("https://docs.wto.org/imrd/directdoc.asp?DDFDocuments/v/G/TBTN26/ARE696.docx", "https://docs.wto.org/imrd/directdoc.asp?DDFDocuments/v/G/TBTN26/ARE696.docx")</f>
        <v>https://docs.wto.org/imrd/directdoc.asp?DDFDocuments/v/G/TBTN26/ARE696.docx</v>
      </c>
      <c r="U548" t="s">
        <v>64</v>
      </c>
      <c r="V548" t="s">
        <v>46</v>
      </c>
      <c r="W548" t="s">
        <v>46</v>
      </c>
      <c r="X548" t="s">
        <v>46</v>
      </c>
      <c r="Y548" t="s">
        <v>46</v>
      </c>
      <c r="Z548" t="s">
        <v>46</v>
      </c>
      <c r="AA548" t="s">
        <v>46</v>
      </c>
      <c r="AB548" s="2" t="s">
        <v>43</v>
      </c>
      <c r="AC548" t="s">
        <v>43</v>
      </c>
      <c r="AD548" t="s">
        <v>43</v>
      </c>
      <c r="AE548" t="s">
        <v>43</v>
      </c>
      <c r="AF548" t="s">
        <v>43</v>
      </c>
      <c r="AG548" t="s">
        <v>43</v>
      </c>
      <c r="AH548" s="2" t="s">
        <v>43</v>
      </c>
    </row>
    <row r="549" spans="1:34" ht="30">
      <c r="A549" s="6" t="s">
        <v>1807</v>
      </c>
      <c r="B549" s="7">
        <v>46069</v>
      </c>
      <c r="C549" s="9" t="str">
        <f>HYPERLINK("https://eping.wto.org/en/Search?viewData= G/TBT/N/ARE/696, G/TBT/N/BHR/774, G/TBT/N/KWT/758, G/TBT/N/OMN/597, G/TBT/N/QAT/748, G/TBT/N/SAU/1430"," G/TBT/N/ARE/696, G/TBT/N/BHR/774, G/TBT/N/KWT/758, G/TBT/N/OMN/597, G/TBT/N/QAT/748, G/TBT/N/SAU/1430")</f>
        <v xml:space="preserve"> G/TBT/N/ARE/696, G/TBT/N/BHR/774, G/TBT/N/KWT/758, G/TBT/N/OMN/597, G/TBT/N/QAT/748, G/TBT/N/SAU/1430</v>
      </c>
      <c r="D549" s="8" t="s">
        <v>2586</v>
      </c>
      <c r="E549" s="8" t="s">
        <v>2587</v>
      </c>
      <c r="F549" s="8" t="s">
        <v>2588</v>
      </c>
      <c r="G549" s="8" t="s">
        <v>43</v>
      </c>
      <c r="H549" s="8" t="s">
        <v>2589</v>
      </c>
      <c r="I549" s="8" t="s">
        <v>2590</v>
      </c>
      <c r="J549" s="8" t="s">
        <v>43</v>
      </c>
      <c r="K549" s="8" t="s">
        <v>240</v>
      </c>
      <c r="L549" s="6"/>
      <c r="M549" s="7">
        <v>46129</v>
      </c>
      <c r="N549" s="7" t="s">
        <v>79</v>
      </c>
      <c r="O549" s="7" t="s">
        <v>79</v>
      </c>
      <c r="P549" s="6" t="s">
        <v>62</v>
      </c>
      <c r="Q549" s="8" t="s">
        <v>2591</v>
      </c>
      <c r="R549" t="str">
        <f>HYPERLINK("https://docs.wto.org/imrd/directdoc.asp?DDFDocuments/t/G/TBTN26/ARE696.docx", "https://docs.wto.org/imrd/directdoc.asp?DDFDocuments/t/G/TBTN26/ARE696.docx")</f>
        <v>https://docs.wto.org/imrd/directdoc.asp?DDFDocuments/t/G/TBTN26/ARE696.docx</v>
      </c>
      <c r="S549" t="str">
        <f>HYPERLINK("https://docs.wto.org/imrd/directdoc.asp?DDFDocuments/u/G/TBTN26/ARE696.docx", "https://docs.wto.org/imrd/directdoc.asp?DDFDocuments/u/G/TBTN26/ARE696.docx")</f>
        <v>https://docs.wto.org/imrd/directdoc.asp?DDFDocuments/u/G/TBTN26/ARE696.docx</v>
      </c>
      <c r="T549" t="str">
        <f>HYPERLINK("https://docs.wto.org/imrd/directdoc.asp?DDFDocuments/v/G/TBTN26/ARE696.docx", "https://docs.wto.org/imrd/directdoc.asp?DDFDocuments/v/G/TBTN26/ARE696.docx")</f>
        <v>https://docs.wto.org/imrd/directdoc.asp?DDFDocuments/v/G/TBTN26/ARE696.docx</v>
      </c>
      <c r="U549" t="s">
        <v>64</v>
      </c>
      <c r="V549" t="s">
        <v>46</v>
      </c>
      <c r="W549" t="s">
        <v>46</v>
      </c>
      <c r="X549" t="s">
        <v>46</v>
      </c>
      <c r="Y549" t="s">
        <v>46</v>
      </c>
      <c r="Z549" t="s">
        <v>46</v>
      </c>
      <c r="AA549" t="s">
        <v>46</v>
      </c>
      <c r="AB549" s="2" t="s">
        <v>43</v>
      </c>
      <c r="AC549" t="s">
        <v>43</v>
      </c>
      <c r="AD549" t="s">
        <v>43</v>
      </c>
      <c r="AE549" t="s">
        <v>43</v>
      </c>
      <c r="AF549" t="s">
        <v>43</v>
      </c>
      <c r="AG549" t="s">
        <v>43</v>
      </c>
      <c r="AH549" s="2" t="s">
        <v>43</v>
      </c>
    </row>
    <row r="550" spans="1:34" ht="120">
      <c r="A550" s="6" t="s">
        <v>1814</v>
      </c>
      <c r="B550" s="7">
        <v>46069</v>
      </c>
      <c r="C550" s="9" t="str">
        <f>HYPERLINK("https://eping.wto.org/en/Search?viewData= G/SPS/N/GBR/119"," G/SPS/N/GBR/119")</f>
        <v xml:space="preserve"> G/SPS/N/GBR/119</v>
      </c>
      <c r="D550" s="8" t="s">
        <v>2158</v>
      </c>
      <c r="E550" s="8" t="s">
        <v>2613</v>
      </c>
      <c r="F550" s="8" t="s">
        <v>2160</v>
      </c>
      <c r="G550" s="8" t="s">
        <v>2628</v>
      </c>
      <c r="H550" s="8" t="s">
        <v>43</v>
      </c>
      <c r="I550" s="8" t="s">
        <v>58</v>
      </c>
      <c r="J550" s="8" t="s">
        <v>43</v>
      </c>
      <c r="K550" s="8" t="s">
        <v>2538</v>
      </c>
      <c r="L550" s="6" t="s">
        <v>43</v>
      </c>
      <c r="M550" s="7" t="s">
        <v>43</v>
      </c>
      <c r="N550" s="7">
        <v>46038</v>
      </c>
      <c r="O550" s="7">
        <v>46038</v>
      </c>
      <c r="P550" s="6" t="s">
        <v>62</v>
      </c>
      <c r="Q550" s="8" t="s">
        <v>2629</v>
      </c>
      <c r="R550" t="str">
        <f>HYPERLINK("https://docs.wto.org/imrd/directdoc.asp?DDFDocuments/t/G/SPS/NGBR119.docx", "https://docs.wto.org/imrd/directdoc.asp?DDFDocuments/t/G/SPS/NGBR119.docx")</f>
        <v>https://docs.wto.org/imrd/directdoc.asp?DDFDocuments/t/G/SPS/NGBR119.docx</v>
      </c>
      <c r="S550" t="str">
        <f>HYPERLINK("https://docs.wto.org/imrd/directdoc.asp?DDFDocuments/u/G/SPS/NGBR119.docx", "https://docs.wto.org/imrd/directdoc.asp?DDFDocuments/u/G/SPS/NGBR119.docx")</f>
        <v>https://docs.wto.org/imrd/directdoc.asp?DDFDocuments/u/G/SPS/NGBR119.docx</v>
      </c>
      <c r="T550" t="str">
        <f>HYPERLINK("https://docs.wto.org/imrd/directdoc.asp?DDFDocuments/v/G/SPS/NGBR119.docx", "https://docs.wto.org/imrd/directdoc.asp?DDFDocuments/v/G/SPS/NGBR119.docx")</f>
        <v>https://docs.wto.org/imrd/directdoc.asp?DDFDocuments/v/G/SPS/NGBR119.docx</v>
      </c>
      <c r="U550" t="s">
        <v>43</v>
      </c>
      <c r="V550" t="s">
        <v>43</v>
      </c>
      <c r="W550" t="s">
        <v>43</v>
      </c>
      <c r="X550" t="s">
        <v>43</v>
      </c>
      <c r="Y550" t="s">
        <v>43</v>
      </c>
      <c r="Z550" t="s">
        <v>43</v>
      </c>
      <c r="AA550" t="s">
        <v>43</v>
      </c>
      <c r="AB550" s="2" t="s">
        <v>43</v>
      </c>
      <c r="AC550" t="s">
        <v>46</v>
      </c>
      <c r="AD550" t="s">
        <v>46</v>
      </c>
      <c r="AE550" t="s">
        <v>46</v>
      </c>
      <c r="AF550" t="s">
        <v>64</v>
      </c>
      <c r="AG550" t="s">
        <v>99</v>
      </c>
      <c r="AH550" s="2" t="s">
        <v>43</v>
      </c>
    </row>
    <row r="551" spans="1:34" ht="105">
      <c r="A551" s="6" t="s">
        <v>338</v>
      </c>
      <c r="B551" s="7">
        <v>46069</v>
      </c>
      <c r="C551" s="9" t="str">
        <f>HYPERLINK("https://eping.wto.org/en/Search?viewData= G/SPS/N/SAU/607/Add.1"," G/SPS/N/SAU/607/Add.1")</f>
        <v xml:space="preserve"> G/SPS/N/SAU/607/Add.1</v>
      </c>
      <c r="D551" s="8" t="s">
        <v>2630</v>
      </c>
      <c r="E551" s="8" t="s">
        <v>2631</v>
      </c>
      <c r="F551" s="8" t="s">
        <v>1682</v>
      </c>
      <c r="G551" s="8" t="s">
        <v>43</v>
      </c>
      <c r="H551" s="8" t="s">
        <v>43</v>
      </c>
      <c r="I551" s="8" t="s">
        <v>361</v>
      </c>
      <c r="J551" s="8" t="s">
        <v>43</v>
      </c>
      <c r="K551" s="8" t="s">
        <v>2632</v>
      </c>
      <c r="L551" s="6"/>
      <c r="M551" s="7" t="s">
        <v>43</v>
      </c>
      <c r="N551" s="7"/>
      <c r="O551" s="7"/>
      <c r="P551" s="6" t="s">
        <v>72</v>
      </c>
      <c r="Q551" s="8" t="s">
        <v>2633</v>
      </c>
      <c r="R551" t="str">
        <f>HYPERLINK("https://docs.wto.org/imrd/directdoc.asp?DDFDocuments/t/G/SPS/NSAU607A1.docx", "https://docs.wto.org/imrd/directdoc.asp?DDFDocuments/t/G/SPS/NSAU607A1.docx")</f>
        <v>https://docs.wto.org/imrd/directdoc.asp?DDFDocuments/t/G/SPS/NSAU607A1.docx</v>
      </c>
      <c r="S551" t="str">
        <f>HYPERLINK("https://docs.wto.org/imrd/directdoc.asp?DDFDocuments/u/G/SPS/NSAU607A1.docx", "https://docs.wto.org/imrd/directdoc.asp?DDFDocuments/u/G/SPS/NSAU607A1.docx")</f>
        <v>https://docs.wto.org/imrd/directdoc.asp?DDFDocuments/u/G/SPS/NSAU607A1.docx</v>
      </c>
      <c r="T551" t="str">
        <f>HYPERLINK("https://docs.wto.org/imrd/directdoc.asp?DDFDocuments/v/G/SPS/NSAU607A1.docx", "https://docs.wto.org/imrd/directdoc.asp?DDFDocuments/v/G/SPS/NSAU607A1.docx")</f>
        <v>https://docs.wto.org/imrd/directdoc.asp?DDFDocuments/v/G/SPS/NSAU607A1.docx</v>
      </c>
      <c r="U551" t="s">
        <v>43</v>
      </c>
      <c r="V551" t="s">
        <v>43</v>
      </c>
      <c r="W551" t="s">
        <v>43</v>
      </c>
      <c r="X551" t="s">
        <v>43</v>
      </c>
      <c r="Y551" t="s">
        <v>43</v>
      </c>
      <c r="Z551" t="s">
        <v>43</v>
      </c>
      <c r="AA551" t="s">
        <v>43</v>
      </c>
      <c r="AB551" s="2" t="s">
        <v>43</v>
      </c>
      <c r="AC551" t="s">
        <v>43</v>
      </c>
      <c r="AD551" t="s">
        <v>43</v>
      </c>
      <c r="AE551" t="s">
        <v>43</v>
      </c>
      <c r="AF551" t="s">
        <v>43</v>
      </c>
      <c r="AG551" t="s">
        <v>43</v>
      </c>
      <c r="AH551" s="2" t="s">
        <v>43</v>
      </c>
    </row>
    <row r="552" spans="1:34" ht="409.5">
      <c r="A552" s="6" t="s">
        <v>82</v>
      </c>
      <c r="B552" s="7">
        <v>46069</v>
      </c>
      <c r="C552" s="9" t="str">
        <f>HYPERLINK("https://eping.wto.org/en/Search?viewData= G/SPS/N/JPN/1392"," G/SPS/N/JPN/1392")</f>
        <v xml:space="preserve"> G/SPS/N/JPN/1392</v>
      </c>
      <c r="D552" s="8" t="s">
        <v>2556</v>
      </c>
      <c r="E552" s="8" t="s">
        <v>2634</v>
      </c>
      <c r="F552" s="8" t="s">
        <v>2635</v>
      </c>
      <c r="G552" s="8" t="s">
        <v>2636</v>
      </c>
      <c r="H552" s="8" t="s">
        <v>43</v>
      </c>
      <c r="I552" s="8" t="s">
        <v>58</v>
      </c>
      <c r="J552" s="8" t="s">
        <v>43</v>
      </c>
      <c r="K552" s="8" t="s">
        <v>2637</v>
      </c>
      <c r="L552" s="6" t="s">
        <v>43</v>
      </c>
      <c r="M552" s="7">
        <v>46129</v>
      </c>
      <c r="N552" s="7" t="s">
        <v>2583</v>
      </c>
      <c r="O552" s="7" t="s">
        <v>2584</v>
      </c>
      <c r="P552" s="6" t="s">
        <v>62</v>
      </c>
      <c r="Q552" s="8" t="s">
        <v>2638</v>
      </c>
      <c r="R552" t="str">
        <f>HYPERLINK("https://docs.wto.org/imrd/directdoc.asp?DDFDocuments/t/G/SPS/NJPN1392.docx", "https://docs.wto.org/imrd/directdoc.asp?DDFDocuments/t/G/SPS/NJPN1392.docx")</f>
        <v>https://docs.wto.org/imrd/directdoc.asp?DDFDocuments/t/G/SPS/NJPN1392.docx</v>
      </c>
      <c r="S552" t="str">
        <f>HYPERLINK("https://docs.wto.org/imrd/directdoc.asp?DDFDocuments/u/G/SPS/NJPN1392.docx", "https://docs.wto.org/imrd/directdoc.asp?DDFDocuments/u/G/SPS/NJPN1392.docx")</f>
        <v>https://docs.wto.org/imrd/directdoc.asp?DDFDocuments/u/G/SPS/NJPN1392.docx</v>
      </c>
      <c r="T552" t="str">
        <f>HYPERLINK("https://docs.wto.org/imrd/directdoc.asp?DDFDocuments/v/G/SPS/NJPN1392.docx", "https://docs.wto.org/imrd/directdoc.asp?DDFDocuments/v/G/SPS/NJPN1392.docx")</f>
        <v>https://docs.wto.org/imrd/directdoc.asp?DDFDocuments/v/G/SPS/NJPN1392.docx</v>
      </c>
      <c r="U552" t="s">
        <v>43</v>
      </c>
      <c r="V552" t="s">
        <v>43</v>
      </c>
      <c r="W552" t="s">
        <v>43</v>
      </c>
      <c r="X552" t="s">
        <v>43</v>
      </c>
      <c r="Y552" t="s">
        <v>43</v>
      </c>
      <c r="Z552" t="s">
        <v>43</v>
      </c>
      <c r="AA552" t="s">
        <v>43</v>
      </c>
      <c r="AB552" s="2" t="s">
        <v>43</v>
      </c>
      <c r="AC552" t="s">
        <v>46</v>
      </c>
      <c r="AD552" t="s">
        <v>46</v>
      </c>
      <c r="AE552" t="s">
        <v>46</v>
      </c>
      <c r="AF552" t="s">
        <v>64</v>
      </c>
      <c r="AG552" t="s">
        <v>99</v>
      </c>
      <c r="AH552" s="2" t="s">
        <v>43</v>
      </c>
    </row>
    <row r="553" spans="1:34" ht="60">
      <c r="A553" s="6" t="s">
        <v>2569</v>
      </c>
      <c r="B553" s="7">
        <v>46069</v>
      </c>
      <c r="C553" s="9" t="str">
        <f>HYPERLINK("https://eping.wto.org/en/Search?viewData= G/TBT/N/JOR/94"," G/TBT/N/JOR/94")</f>
        <v xml:space="preserve"> G/TBT/N/JOR/94</v>
      </c>
      <c r="D553" s="8" t="s">
        <v>2639</v>
      </c>
      <c r="E553" s="8" t="s">
        <v>2640</v>
      </c>
      <c r="F553" s="8" t="s">
        <v>2623</v>
      </c>
      <c r="G553" s="8" t="s">
        <v>43</v>
      </c>
      <c r="H553" s="8" t="s">
        <v>2624</v>
      </c>
      <c r="I553" s="8" t="s">
        <v>2625</v>
      </c>
      <c r="J553" s="8" t="s">
        <v>43</v>
      </c>
      <c r="K553" s="8" t="s">
        <v>240</v>
      </c>
      <c r="L553" s="6"/>
      <c r="M553" s="7">
        <v>46129</v>
      </c>
      <c r="N553" s="7">
        <v>46096</v>
      </c>
      <c r="O553" s="7">
        <v>46188</v>
      </c>
      <c r="P553" s="6" t="s">
        <v>62</v>
      </c>
      <c r="Q553" s="8" t="s">
        <v>2641</v>
      </c>
      <c r="R553" t="str">
        <f>HYPERLINK("https://docs.wto.org/imrd/directdoc.asp?DDFDocuments/t/G/TBTN26/JOR94.docx", "https://docs.wto.org/imrd/directdoc.asp?DDFDocuments/t/G/TBTN26/JOR94.docx")</f>
        <v>https://docs.wto.org/imrd/directdoc.asp?DDFDocuments/t/G/TBTN26/JOR94.docx</v>
      </c>
      <c r="S553" t="str">
        <f>HYPERLINK("https://docs.wto.org/imrd/directdoc.asp?DDFDocuments/u/G/TBTN26/JOR94.docx", "https://docs.wto.org/imrd/directdoc.asp?DDFDocuments/u/G/TBTN26/JOR94.docx")</f>
        <v>https://docs.wto.org/imrd/directdoc.asp?DDFDocuments/u/G/TBTN26/JOR94.docx</v>
      </c>
      <c r="T553" t="str">
        <f>HYPERLINK("https://docs.wto.org/imrd/directdoc.asp?DDFDocuments/v/G/TBTN26/JOR94.docx", "https://docs.wto.org/imrd/directdoc.asp?DDFDocuments/v/G/TBTN26/JOR94.docx")</f>
        <v>https://docs.wto.org/imrd/directdoc.asp?DDFDocuments/v/G/TBTN26/JOR94.docx</v>
      </c>
      <c r="U553" t="s">
        <v>64</v>
      </c>
      <c r="V553" t="s">
        <v>46</v>
      </c>
      <c r="W553" t="s">
        <v>46</v>
      </c>
      <c r="X553" t="s">
        <v>46</v>
      </c>
      <c r="Y553" t="s">
        <v>46</v>
      </c>
      <c r="Z553" t="s">
        <v>46</v>
      </c>
      <c r="AA553" t="s">
        <v>46</v>
      </c>
      <c r="AB553" s="2" t="s">
        <v>2642</v>
      </c>
      <c r="AC553" t="s">
        <v>43</v>
      </c>
      <c r="AD553" t="s">
        <v>43</v>
      </c>
      <c r="AE553" t="s">
        <v>43</v>
      </c>
      <c r="AF553" t="s">
        <v>43</v>
      </c>
      <c r="AG553" t="s">
        <v>43</v>
      </c>
      <c r="AH553" s="2" t="s">
        <v>43</v>
      </c>
    </row>
    <row r="554" spans="1:34" ht="30">
      <c r="A554" s="6" t="s">
        <v>338</v>
      </c>
      <c r="B554" s="7">
        <v>46069</v>
      </c>
      <c r="C554" s="9" t="str">
        <f>HYPERLINK("https://eping.wto.org/en/Search?viewData= G/TBT/N/ARE/696, G/TBT/N/BHR/774, G/TBT/N/KWT/758, G/TBT/N/OMN/597, G/TBT/N/QAT/748, G/TBT/N/SAU/1430"," G/TBT/N/ARE/696, G/TBT/N/BHR/774, G/TBT/N/KWT/758, G/TBT/N/OMN/597, G/TBT/N/QAT/748, G/TBT/N/SAU/1430")</f>
        <v xml:space="preserve"> G/TBT/N/ARE/696, G/TBT/N/BHR/774, G/TBT/N/KWT/758, G/TBT/N/OMN/597, G/TBT/N/QAT/748, G/TBT/N/SAU/1430</v>
      </c>
      <c r="D554" s="8" t="s">
        <v>2586</v>
      </c>
      <c r="E554" s="8" t="s">
        <v>2587</v>
      </c>
      <c r="F554" s="8" t="s">
        <v>2588</v>
      </c>
      <c r="G554" s="8" t="s">
        <v>43</v>
      </c>
      <c r="H554" s="8" t="s">
        <v>2589</v>
      </c>
      <c r="I554" s="8" t="s">
        <v>2590</v>
      </c>
      <c r="J554" s="8" t="s">
        <v>43</v>
      </c>
      <c r="K554" s="8" t="s">
        <v>240</v>
      </c>
      <c r="L554" s="6"/>
      <c r="M554" s="7">
        <v>46129</v>
      </c>
      <c r="N554" s="7" t="s">
        <v>79</v>
      </c>
      <c r="O554" s="7" t="s">
        <v>79</v>
      </c>
      <c r="P554" s="6" t="s">
        <v>62</v>
      </c>
      <c r="Q554" s="8" t="s">
        <v>2591</v>
      </c>
      <c r="R554" t="str">
        <f>HYPERLINK("https://docs.wto.org/imrd/directdoc.asp?DDFDocuments/t/G/TBTN26/ARE696.docx", "https://docs.wto.org/imrd/directdoc.asp?DDFDocuments/t/G/TBTN26/ARE696.docx")</f>
        <v>https://docs.wto.org/imrd/directdoc.asp?DDFDocuments/t/G/TBTN26/ARE696.docx</v>
      </c>
      <c r="S554" t="str">
        <f>HYPERLINK("https://docs.wto.org/imrd/directdoc.asp?DDFDocuments/u/G/TBTN26/ARE696.docx", "https://docs.wto.org/imrd/directdoc.asp?DDFDocuments/u/G/TBTN26/ARE696.docx")</f>
        <v>https://docs.wto.org/imrd/directdoc.asp?DDFDocuments/u/G/TBTN26/ARE696.docx</v>
      </c>
      <c r="T554" t="str">
        <f>HYPERLINK("https://docs.wto.org/imrd/directdoc.asp?DDFDocuments/v/G/TBTN26/ARE696.docx", "https://docs.wto.org/imrd/directdoc.asp?DDFDocuments/v/G/TBTN26/ARE696.docx")</f>
        <v>https://docs.wto.org/imrd/directdoc.asp?DDFDocuments/v/G/TBTN26/ARE696.docx</v>
      </c>
      <c r="U554" t="s">
        <v>64</v>
      </c>
      <c r="V554" t="s">
        <v>46</v>
      </c>
      <c r="W554" t="s">
        <v>46</v>
      </c>
      <c r="X554" t="s">
        <v>46</v>
      </c>
      <c r="Y554" t="s">
        <v>46</v>
      </c>
      <c r="Z554" t="s">
        <v>46</v>
      </c>
      <c r="AA554" t="s">
        <v>46</v>
      </c>
      <c r="AB554" s="2" t="s">
        <v>43</v>
      </c>
      <c r="AC554" t="s">
        <v>43</v>
      </c>
      <c r="AD554" t="s">
        <v>43</v>
      </c>
      <c r="AE554" t="s">
        <v>43</v>
      </c>
      <c r="AF554" t="s">
        <v>43</v>
      </c>
      <c r="AG554" t="s">
        <v>43</v>
      </c>
      <c r="AH554" s="2" t="s">
        <v>43</v>
      </c>
    </row>
    <row r="555" spans="1:34" ht="75">
      <c r="A555" s="6" t="s">
        <v>66</v>
      </c>
      <c r="B555" s="7">
        <v>46069</v>
      </c>
      <c r="C555" s="9" t="str">
        <f>HYPERLINK("https://eping.wto.org/en/Search?viewData= G/SPS/N/MDA/34"," G/SPS/N/MDA/34")</f>
        <v xml:space="preserve"> G/SPS/N/MDA/34</v>
      </c>
      <c r="D555" s="8" t="s">
        <v>2643</v>
      </c>
      <c r="E555" s="8" t="s">
        <v>2644</v>
      </c>
      <c r="F555" s="8" t="s">
        <v>2645</v>
      </c>
      <c r="G555" s="8" t="s">
        <v>2646</v>
      </c>
      <c r="H555" s="8" t="s">
        <v>43</v>
      </c>
      <c r="I555" s="8" t="s">
        <v>58</v>
      </c>
      <c r="J555" s="8" t="s">
        <v>43</v>
      </c>
      <c r="K555" s="8" t="s">
        <v>310</v>
      </c>
      <c r="L555" s="6" t="s">
        <v>43</v>
      </c>
      <c r="M555" s="7" t="s">
        <v>43</v>
      </c>
      <c r="N555" s="7" t="s">
        <v>99</v>
      </c>
      <c r="O555" s="7" t="s">
        <v>2647</v>
      </c>
      <c r="P555" s="6" t="s">
        <v>62</v>
      </c>
      <c r="Q555" s="8" t="s">
        <v>2648</v>
      </c>
      <c r="R555" t="str">
        <f>HYPERLINK("https://docs.wto.org/imrd/directdoc.asp?DDFDocuments/t/G/SPS/NMDA34.docx", "https://docs.wto.org/imrd/directdoc.asp?DDFDocuments/t/G/SPS/NMDA34.docx")</f>
        <v>https://docs.wto.org/imrd/directdoc.asp?DDFDocuments/t/G/SPS/NMDA34.docx</v>
      </c>
      <c r="S555" t="str">
        <f>HYPERLINK("https://docs.wto.org/imrd/directdoc.asp?DDFDocuments/u/G/SPS/NMDA34.docx", "https://docs.wto.org/imrd/directdoc.asp?DDFDocuments/u/G/SPS/NMDA34.docx")</f>
        <v>https://docs.wto.org/imrd/directdoc.asp?DDFDocuments/u/G/SPS/NMDA34.docx</v>
      </c>
      <c r="T555" t="str">
        <f>HYPERLINK("https://docs.wto.org/imrd/directdoc.asp?DDFDocuments/v/G/SPS/NMDA34.docx", "https://docs.wto.org/imrd/directdoc.asp?DDFDocuments/v/G/SPS/NMDA34.docx")</f>
        <v>https://docs.wto.org/imrd/directdoc.asp?DDFDocuments/v/G/SPS/NMDA34.docx</v>
      </c>
      <c r="U555" t="s">
        <v>43</v>
      </c>
      <c r="V555" t="s">
        <v>43</v>
      </c>
      <c r="W555" t="s">
        <v>43</v>
      </c>
      <c r="X555" t="s">
        <v>43</v>
      </c>
      <c r="Y555" t="s">
        <v>43</v>
      </c>
      <c r="Z555" t="s">
        <v>43</v>
      </c>
      <c r="AA555" t="s">
        <v>43</v>
      </c>
      <c r="AB555" s="2" t="s">
        <v>43</v>
      </c>
      <c r="AC555" t="s">
        <v>64</v>
      </c>
      <c r="AD555" t="s">
        <v>46</v>
      </c>
      <c r="AE555" t="s">
        <v>46</v>
      </c>
      <c r="AF555" t="s">
        <v>46</v>
      </c>
      <c r="AG555" t="s">
        <v>64</v>
      </c>
      <c r="AH555" s="2" t="s">
        <v>43</v>
      </c>
    </row>
    <row r="556" spans="1:34" ht="285">
      <c r="A556" s="6" t="s">
        <v>132</v>
      </c>
      <c r="B556" s="7">
        <v>46069</v>
      </c>
      <c r="C556" s="9" t="str">
        <f>HYPERLINK("https://eping.wto.org/en/Search?viewData= G/TBT/N/USA/503/Add.9"," G/TBT/N/USA/503/Add.9")</f>
        <v xml:space="preserve"> G/TBT/N/USA/503/Add.9</v>
      </c>
      <c r="D556" s="8" t="s">
        <v>2649</v>
      </c>
      <c r="E556" s="8" t="s">
        <v>2650</v>
      </c>
      <c r="F556" s="8" t="s">
        <v>2651</v>
      </c>
      <c r="G556" s="8" t="s">
        <v>43</v>
      </c>
      <c r="H556" s="8" t="s">
        <v>2652</v>
      </c>
      <c r="I556" s="8" t="s">
        <v>336</v>
      </c>
      <c r="J556" s="8" t="s">
        <v>2653</v>
      </c>
      <c r="K556" s="8" t="s">
        <v>43</v>
      </c>
      <c r="L556" s="6"/>
      <c r="M556" s="7" t="s">
        <v>43</v>
      </c>
      <c r="N556" s="7"/>
      <c r="O556" s="7"/>
      <c r="P556" s="6" t="s">
        <v>44</v>
      </c>
      <c r="Q556" s="8" t="s">
        <v>2654</v>
      </c>
      <c r="R556" t="str">
        <f>HYPERLINK("https://docs.wto.org/imrd/directdoc.asp?DDFDocuments/t/G/TBTN09/USA503A9.docx", "https://docs.wto.org/imrd/directdoc.asp?DDFDocuments/t/G/TBTN09/USA503A9.docx")</f>
        <v>https://docs.wto.org/imrd/directdoc.asp?DDFDocuments/t/G/TBTN09/USA503A9.docx</v>
      </c>
      <c r="S556" t="str">
        <f>HYPERLINK("https://docs.wto.org/imrd/directdoc.asp?DDFDocuments/u/G/TBTN09/USA503A9.docx", "https://docs.wto.org/imrd/directdoc.asp?DDFDocuments/u/G/TBTN09/USA503A9.docx")</f>
        <v>https://docs.wto.org/imrd/directdoc.asp?DDFDocuments/u/G/TBTN09/USA503A9.docx</v>
      </c>
      <c r="T556" t="str">
        <f>HYPERLINK("https://docs.wto.org/imrd/directdoc.asp?DDFDocuments/v/G/TBTN09/USA503A9.docx", "https://docs.wto.org/imrd/directdoc.asp?DDFDocuments/v/G/TBTN09/USA503A9.docx")</f>
        <v>https://docs.wto.org/imrd/directdoc.asp?DDFDocuments/v/G/TBTN09/USA503A9.docx</v>
      </c>
      <c r="U556" t="s">
        <v>64</v>
      </c>
      <c r="V556" t="s">
        <v>46</v>
      </c>
      <c r="W556" t="s">
        <v>46</v>
      </c>
      <c r="X556" t="s">
        <v>46</v>
      </c>
      <c r="Y556" t="s">
        <v>46</v>
      </c>
      <c r="Z556" t="s">
        <v>46</v>
      </c>
      <c r="AA556" t="s">
        <v>46</v>
      </c>
      <c r="AB556" s="2" t="s">
        <v>43</v>
      </c>
      <c r="AC556" t="s">
        <v>43</v>
      </c>
      <c r="AD556" t="s">
        <v>43</v>
      </c>
      <c r="AE556" t="s">
        <v>43</v>
      </c>
      <c r="AF556" t="s">
        <v>43</v>
      </c>
      <c r="AG556" t="s">
        <v>43</v>
      </c>
      <c r="AH556" s="2" t="s">
        <v>43</v>
      </c>
    </row>
    <row r="557" spans="1:34" ht="409.5">
      <c r="A557" s="6" t="s">
        <v>82</v>
      </c>
      <c r="B557" s="7">
        <v>46069</v>
      </c>
      <c r="C557" s="9" t="str">
        <f>HYPERLINK("https://eping.wto.org/en/Search?viewData= G/SPS/N/JPN/1389"," G/SPS/N/JPN/1389")</f>
        <v xml:space="preserve"> G/SPS/N/JPN/1389</v>
      </c>
      <c r="D557" s="8" t="s">
        <v>2556</v>
      </c>
      <c r="E557" s="8" t="s">
        <v>2655</v>
      </c>
      <c r="F557" s="8" t="s">
        <v>2656</v>
      </c>
      <c r="G557" s="8" t="s">
        <v>2657</v>
      </c>
      <c r="H557" s="8" t="s">
        <v>43</v>
      </c>
      <c r="I557" s="8" t="s">
        <v>58</v>
      </c>
      <c r="J557" s="8" t="s">
        <v>43</v>
      </c>
      <c r="K557" s="8" t="s">
        <v>2538</v>
      </c>
      <c r="L557" s="6" t="s">
        <v>43</v>
      </c>
      <c r="M557" s="7">
        <v>46129</v>
      </c>
      <c r="N557" s="7" t="s">
        <v>2583</v>
      </c>
      <c r="O557" s="7" t="s">
        <v>2584</v>
      </c>
      <c r="P557" s="6" t="s">
        <v>62</v>
      </c>
      <c r="Q557" s="8" t="s">
        <v>2658</v>
      </c>
      <c r="R557" t="str">
        <f>HYPERLINK("https://docs.wto.org/imrd/directdoc.asp?DDFDocuments/t/G/SPS/NJPN1389.docx", "https://docs.wto.org/imrd/directdoc.asp?DDFDocuments/t/G/SPS/NJPN1389.docx")</f>
        <v>https://docs.wto.org/imrd/directdoc.asp?DDFDocuments/t/G/SPS/NJPN1389.docx</v>
      </c>
      <c r="S557" t="str">
        <f>HYPERLINK("https://docs.wto.org/imrd/directdoc.asp?DDFDocuments/u/G/SPS/NJPN1389.docx", "https://docs.wto.org/imrd/directdoc.asp?DDFDocuments/u/G/SPS/NJPN1389.docx")</f>
        <v>https://docs.wto.org/imrd/directdoc.asp?DDFDocuments/u/G/SPS/NJPN1389.docx</v>
      </c>
      <c r="T557" t="str">
        <f>HYPERLINK("https://docs.wto.org/imrd/directdoc.asp?DDFDocuments/v/G/SPS/NJPN1389.docx", "https://docs.wto.org/imrd/directdoc.asp?DDFDocuments/v/G/SPS/NJPN1389.docx")</f>
        <v>https://docs.wto.org/imrd/directdoc.asp?DDFDocuments/v/G/SPS/NJPN1389.docx</v>
      </c>
      <c r="U557" t="s">
        <v>43</v>
      </c>
      <c r="V557" t="s">
        <v>43</v>
      </c>
      <c r="W557" t="s">
        <v>43</v>
      </c>
      <c r="X557" t="s">
        <v>43</v>
      </c>
      <c r="Y557" t="s">
        <v>43</v>
      </c>
      <c r="Z557" t="s">
        <v>43</v>
      </c>
      <c r="AA557" t="s">
        <v>43</v>
      </c>
      <c r="AB557" s="2" t="s">
        <v>43</v>
      </c>
      <c r="AC557" t="s">
        <v>46</v>
      </c>
      <c r="AD557" t="s">
        <v>46</v>
      </c>
      <c r="AE557" t="s">
        <v>46</v>
      </c>
      <c r="AF557" t="s">
        <v>64</v>
      </c>
      <c r="AG557" t="s">
        <v>99</v>
      </c>
      <c r="AH557" s="2" t="s">
        <v>43</v>
      </c>
    </row>
    <row r="558" spans="1:34" ht="180">
      <c r="A558" s="6" t="s">
        <v>303</v>
      </c>
      <c r="B558" s="7">
        <v>46066</v>
      </c>
      <c r="C558" s="9" t="str">
        <f>HYPERLINK("https://eping.wto.org/en/Search?viewData= G/TBT/N/KOR/1342"," G/TBT/N/KOR/1342")</f>
        <v xml:space="preserve"> G/TBT/N/KOR/1342</v>
      </c>
      <c r="D558" s="8" t="s">
        <v>2659</v>
      </c>
      <c r="E558" s="8" t="s">
        <v>2660</v>
      </c>
      <c r="F558" s="8" t="s">
        <v>2661</v>
      </c>
      <c r="G558" s="8" t="s">
        <v>43</v>
      </c>
      <c r="H558" s="8" t="s">
        <v>1573</v>
      </c>
      <c r="I558" s="8" t="s">
        <v>2662</v>
      </c>
      <c r="J558" s="8" t="s">
        <v>43</v>
      </c>
      <c r="K558" s="8" t="s">
        <v>43</v>
      </c>
      <c r="L558" s="6"/>
      <c r="M558" s="7">
        <v>46126</v>
      </c>
      <c r="N558" s="7">
        <v>46154</v>
      </c>
      <c r="O558" s="7">
        <v>46154</v>
      </c>
      <c r="P558" s="6" t="s">
        <v>62</v>
      </c>
      <c r="Q558" s="8" t="s">
        <v>2663</v>
      </c>
      <c r="R558" t="str">
        <f>HYPERLINK("https://docs.wto.org/imrd/directdoc.asp?DDFDocuments/t/G/TBTN26/KOR1342.docx", "https://docs.wto.org/imrd/directdoc.asp?DDFDocuments/t/G/TBTN26/KOR1342.docx")</f>
        <v>https://docs.wto.org/imrd/directdoc.asp?DDFDocuments/t/G/TBTN26/KOR1342.docx</v>
      </c>
      <c r="S558" t="str">
        <f>HYPERLINK("https://docs.wto.org/imrd/directdoc.asp?DDFDocuments/u/G/TBTN26/KOR1342.docx", "https://docs.wto.org/imrd/directdoc.asp?DDFDocuments/u/G/TBTN26/KOR1342.docx")</f>
        <v>https://docs.wto.org/imrd/directdoc.asp?DDFDocuments/u/G/TBTN26/KOR1342.docx</v>
      </c>
      <c r="T558" t="str">
        <f>HYPERLINK("https://docs.wto.org/imrd/directdoc.asp?DDFDocuments/v/G/TBTN26/KOR1342.docx", "https://docs.wto.org/imrd/directdoc.asp?DDFDocuments/v/G/TBTN26/KOR1342.docx")</f>
        <v>https://docs.wto.org/imrd/directdoc.asp?DDFDocuments/v/G/TBTN26/KOR1342.docx</v>
      </c>
      <c r="U558" t="s">
        <v>64</v>
      </c>
      <c r="V558" t="s">
        <v>46</v>
      </c>
      <c r="W558" t="s">
        <v>46</v>
      </c>
      <c r="X558" t="s">
        <v>46</v>
      </c>
      <c r="Y558" t="s">
        <v>46</v>
      </c>
      <c r="Z558" t="s">
        <v>46</v>
      </c>
      <c r="AA558" t="s">
        <v>46</v>
      </c>
      <c r="AB558" s="2" t="s">
        <v>2664</v>
      </c>
      <c r="AC558" t="s">
        <v>43</v>
      </c>
      <c r="AD558" t="s">
        <v>43</v>
      </c>
      <c r="AE558" t="s">
        <v>43</v>
      </c>
      <c r="AF558" t="s">
        <v>43</v>
      </c>
      <c r="AG558" t="s">
        <v>43</v>
      </c>
      <c r="AH558" s="2" t="s">
        <v>43</v>
      </c>
    </row>
    <row r="559" spans="1:34" ht="285">
      <c r="A559" s="6" t="s">
        <v>904</v>
      </c>
      <c r="B559" s="7">
        <v>46066</v>
      </c>
      <c r="C559" s="9" t="str">
        <f>HYPERLINK("https://eping.wto.org/en/Search?viewData= G/TBT/N/MEX/558"," G/TBT/N/MEX/558")</f>
        <v xml:space="preserve"> G/TBT/N/MEX/558</v>
      </c>
      <c r="D559" s="8" t="s">
        <v>2665</v>
      </c>
      <c r="E559" s="8" t="s">
        <v>2666</v>
      </c>
      <c r="F559" s="8" t="s">
        <v>2667</v>
      </c>
      <c r="G559" s="8" t="s">
        <v>43</v>
      </c>
      <c r="H559" s="8" t="s">
        <v>2668</v>
      </c>
      <c r="I559" s="8" t="s">
        <v>275</v>
      </c>
      <c r="J559" s="8" t="s">
        <v>43</v>
      </c>
      <c r="K559" s="8" t="s">
        <v>43</v>
      </c>
      <c r="L559" s="6"/>
      <c r="M559" s="7">
        <v>46126</v>
      </c>
      <c r="N559" s="7" t="s">
        <v>79</v>
      </c>
      <c r="O559" s="7" t="s">
        <v>79</v>
      </c>
      <c r="P559" s="6" t="s">
        <v>62</v>
      </c>
      <c r="Q559" s="8" t="s">
        <v>2669</v>
      </c>
      <c r="R559" t="str">
        <f>HYPERLINK("https://docs.wto.org/imrd/directdoc.asp?DDFDocuments/t/G/TBTN26/MEX558.docx", "https://docs.wto.org/imrd/directdoc.asp?DDFDocuments/t/G/TBTN26/MEX558.docx")</f>
        <v>https://docs.wto.org/imrd/directdoc.asp?DDFDocuments/t/G/TBTN26/MEX558.docx</v>
      </c>
      <c r="S559" t="str">
        <f>HYPERLINK("https://docs.wto.org/imrd/directdoc.asp?DDFDocuments/u/G/TBTN26/MEX558.docx", "https://docs.wto.org/imrd/directdoc.asp?DDFDocuments/u/G/TBTN26/MEX558.docx")</f>
        <v>https://docs.wto.org/imrd/directdoc.asp?DDFDocuments/u/G/TBTN26/MEX558.docx</v>
      </c>
      <c r="T559" t="str">
        <f>HYPERLINK("https://docs.wto.org/imrd/directdoc.asp?DDFDocuments/v/G/TBTN26/MEX558.docx", "https://docs.wto.org/imrd/directdoc.asp?DDFDocuments/v/G/TBTN26/MEX558.docx")</f>
        <v>https://docs.wto.org/imrd/directdoc.asp?DDFDocuments/v/G/TBTN26/MEX558.docx</v>
      </c>
      <c r="U559" t="s">
        <v>64</v>
      </c>
      <c r="V559" t="s">
        <v>46</v>
      </c>
      <c r="W559" t="s">
        <v>64</v>
      </c>
      <c r="X559" t="s">
        <v>46</v>
      </c>
      <c r="Y559" t="s">
        <v>46</v>
      </c>
      <c r="Z559" t="s">
        <v>46</v>
      </c>
      <c r="AA559" t="s">
        <v>46</v>
      </c>
      <c r="AB559" s="2" t="s">
        <v>2670</v>
      </c>
      <c r="AC559" t="s">
        <v>43</v>
      </c>
      <c r="AD559" t="s">
        <v>43</v>
      </c>
      <c r="AE559" t="s">
        <v>43</v>
      </c>
      <c r="AF559" t="s">
        <v>43</v>
      </c>
      <c r="AG559" t="s">
        <v>43</v>
      </c>
      <c r="AH559" s="2" t="s">
        <v>43</v>
      </c>
    </row>
    <row r="560" spans="1:34" ht="409.5">
      <c r="A560" s="6" t="s">
        <v>303</v>
      </c>
      <c r="B560" s="7">
        <v>46066</v>
      </c>
      <c r="C560" s="9" t="str">
        <f>HYPERLINK("https://eping.wto.org/en/Search?viewData= G/TBT/N/KOR/1343"," G/TBT/N/KOR/1343")</f>
        <v xml:space="preserve"> G/TBT/N/KOR/1343</v>
      </c>
      <c r="D560" s="8" t="s">
        <v>2671</v>
      </c>
      <c r="E560" s="8" t="s">
        <v>2672</v>
      </c>
      <c r="F560" s="8" t="s">
        <v>2661</v>
      </c>
      <c r="G560" s="8" t="s">
        <v>43</v>
      </c>
      <c r="H560" s="8" t="s">
        <v>1573</v>
      </c>
      <c r="I560" s="8" t="s">
        <v>2662</v>
      </c>
      <c r="J560" s="8" t="s">
        <v>43</v>
      </c>
      <c r="K560" s="8" t="s">
        <v>43</v>
      </c>
      <c r="L560" s="6"/>
      <c r="M560" s="7">
        <v>46126</v>
      </c>
      <c r="N560" s="7">
        <v>46154</v>
      </c>
      <c r="O560" s="7">
        <v>46154</v>
      </c>
      <c r="P560" s="6" t="s">
        <v>62</v>
      </c>
      <c r="Q560" s="8" t="s">
        <v>2673</v>
      </c>
      <c r="R560" t="str">
        <f>HYPERLINK("https://docs.wto.org/imrd/directdoc.asp?DDFDocuments/t/G/TBTN26/KOR1343.docx", "https://docs.wto.org/imrd/directdoc.asp?DDFDocuments/t/G/TBTN26/KOR1343.docx")</f>
        <v>https://docs.wto.org/imrd/directdoc.asp?DDFDocuments/t/G/TBTN26/KOR1343.docx</v>
      </c>
      <c r="S560" t="str">
        <f>HYPERLINK("https://docs.wto.org/imrd/directdoc.asp?DDFDocuments/u/G/TBTN26/KOR1343.docx", "https://docs.wto.org/imrd/directdoc.asp?DDFDocuments/u/G/TBTN26/KOR1343.docx")</f>
        <v>https://docs.wto.org/imrd/directdoc.asp?DDFDocuments/u/G/TBTN26/KOR1343.docx</v>
      </c>
      <c r="T560" t="str">
        <f>HYPERLINK("https://docs.wto.org/imrd/directdoc.asp?DDFDocuments/v/G/TBTN26/KOR1343.docx", "https://docs.wto.org/imrd/directdoc.asp?DDFDocuments/v/G/TBTN26/KOR1343.docx")</f>
        <v>https://docs.wto.org/imrd/directdoc.asp?DDFDocuments/v/G/TBTN26/KOR1343.docx</v>
      </c>
      <c r="U560" t="s">
        <v>64</v>
      </c>
      <c r="V560" t="s">
        <v>46</v>
      </c>
      <c r="W560" t="s">
        <v>46</v>
      </c>
      <c r="X560" t="s">
        <v>46</v>
      </c>
      <c r="Y560" t="s">
        <v>46</v>
      </c>
      <c r="Z560" t="s">
        <v>46</v>
      </c>
      <c r="AA560" t="s">
        <v>46</v>
      </c>
      <c r="AB560" s="2" t="s">
        <v>2674</v>
      </c>
      <c r="AC560" t="s">
        <v>43</v>
      </c>
      <c r="AD560" t="s">
        <v>43</v>
      </c>
      <c r="AE560" t="s">
        <v>43</v>
      </c>
      <c r="AF560" t="s">
        <v>43</v>
      </c>
      <c r="AG560" t="s">
        <v>43</v>
      </c>
      <c r="AH560" s="2" t="s">
        <v>43</v>
      </c>
    </row>
    <row r="561" spans="1:34">
      <c r="A561" s="6" t="s">
        <v>2675</v>
      </c>
      <c r="B561" s="7">
        <v>46066</v>
      </c>
      <c r="C561" s="9" t="str">
        <f>HYPERLINK("https://eping.wto.org/en/Search?viewData= G/TBT/15.2/N/LSO"," G/TBT/15.2/N/LSO")</f>
        <v xml:space="preserve"> G/TBT/15.2/N/LSO</v>
      </c>
      <c r="D561" s="8" t="s">
        <v>43</v>
      </c>
      <c r="E561" s="8" t="s">
        <v>43</v>
      </c>
      <c r="F561" s="8" t="s">
        <v>43</v>
      </c>
      <c r="G561" s="8" t="s">
        <v>43</v>
      </c>
      <c r="H561" s="8" t="s">
        <v>43</v>
      </c>
      <c r="I561" s="8" t="s">
        <v>43</v>
      </c>
      <c r="J561" s="8" t="s">
        <v>43</v>
      </c>
      <c r="K561" s="8" t="s">
        <v>43</v>
      </c>
      <c r="L561" s="6"/>
      <c r="M561" s="7" t="s">
        <v>43</v>
      </c>
      <c r="N561" s="7"/>
      <c r="O561" s="7"/>
      <c r="P561" s="6" t="s">
        <v>1761</v>
      </c>
      <c r="Q561" s="6"/>
      <c r="R561" t="str">
        <f>HYPERLINK("https://docs.wto.org/imrd/directdoc.asp?DDFDocuments/t/G/TBT15_2/NLSO.docx", "https://docs.wto.org/imrd/directdoc.asp?DDFDocuments/t/G/TBT15_2/NLSO.docx")</f>
        <v>https://docs.wto.org/imrd/directdoc.asp?DDFDocuments/t/G/TBT15_2/NLSO.docx</v>
      </c>
      <c r="S561" t="str">
        <f>HYPERLINK("https://docs.wto.org/imrd/directdoc.asp?DDFDocuments/u/G/TBT15_2/NLSO.docx", "https://docs.wto.org/imrd/directdoc.asp?DDFDocuments/u/G/TBT15_2/NLSO.docx")</f>
        <v>https://docs.wto.org/imrd/directdoc.asp?DDFDocuments/u/G/TBT15_2/NLSO.docx</v>
      </c>
      <c r="T561" t="str">
        <f>HYPERLINK("https://docs.wto.org/imrd/directdoc.asp?DDFDocuments/v/G/TBT15_2/NLSO.docx", "https://docs.wto.org/imrd/directdoc.asp?DDFDocuments/v/G/TBT15_2/NLSO.docx")</f>
        <v>https://docs.wto.org/imrd/directdoc.asp?DDFDocuments/v/G/TBT15_2/NLSO.docx</v>
      </c>
      <c r="U561" t="s">
        <v>43</v>
      </c>
      <c r="V561" t="s">
        <v>43</v>
      </c>
      <c r="W561" t="s">
        <v>43</v>
      </c>
      <c r="X561" t="s">
        <v>43</v>
      </c>
      <c r="Y561" t="s">
        <v>43</v>
      </c>
      <c r="Z561" t="s">
        <v>43</v>
      </c>
      <c r="AA561" t="s">
        <v>43</v>
      </c>
      <c r="AB561" s="2" t="s">
        <v>43</v>
      </c>
      <c r="AC561" t="s">
        <v>43</v>
      </c>
      <c r="AD561" t="s">
        <v>43</v>
      </c>
      <c r="AE561" t="s">
        <v>43</v>
      </c>
      <c r="AF561" t="s">
        <v>43</v>
      </c>
      <c r="AG561" t="s">
        <v>43</v>
      </c>
      <c r="AH561" s="2" t="s">
        <v>43</v>
      </c>
    </row>
    <row r="562" spans="1:34" ht="60">
      <c r="A562" s="6" t="s">
        <v>1328</v>
      </c>
      <c r="B562" s="7">
        <v>46066</v>
      </c>
      <c r="C562" s="9" t="str">
        <f>HYPERLINK("https://eping.wto.org/en/Search?viewData= G/SPS/N/PHL/543"," G/SPS/N/PHL/543")</f>
        <v xml:space="preserve"> G/SPS/N/PHL/543</v>
      </c>
      <c r="D562" s="8" t="s">
        <v>2676</v>
      </c>
      <c r="E562" s="8" t="s">
        <v>2677</v>
      </c>
      <c r="F562" s="8" t="s">
        <v>2678</v>
      </c>
      <c r="G562" s="8" t="s">
        <v>690</v>
      </c>
      <c r="H562" s="8" t="s">
        <v>650</v>
      </c>
      <c r="I562" s="8" t="s">
        <v>104</v>
      </c>
      <c r="J562" s="8" t="s">
        <v>43</v>
      </c>
      <c r="K562" s="8" t="s">
        <v>749</v>
      </c>
      <c r="L562" s="6" t="s">
        <v>43</v>
      </c>
      <c r="M562" s="7">
        <v>46090</v>
      </c>
      <c r="N562" s="7">
        <v>46090</v>
      </c>
      <c r="O562" s="7" t="s">
        <v>114</v>
      </c>
      <c r="P562" s="6" t="s">
        <v>62</v>
      </c>
      <c r="Q562" s="8" t="s">
        <v>2679</v>
      </c>
      <c r="R562" t="str">
        <f>HYPERLINK("https://docs.wto.org/imrd/directdoc.asp?DDFDocuments/t/G/SPS/NPHL543.docx", "https://docs.wto.org/imrd/directdoc.asp?DDFDocuments/t/G/SPS/NPHL543.docx")</f>
        <v>https://docs.wto.org/imrd/directdoc.asp?DDFDocuments/t/G/SPS/NPHL543.docx</v>
      </c>
      <c r="S562" t="str">
        <f>HYPERLINK("https://docs.wto.org/imrd/directdoc.asp?DDFDocuments/u/G/SPS/NPHL543.docx", "https://docs.wto.org/imrd/directdoc.asp?DDFDocuments/u/G/SPS/NPHL543.docx")</f>
        <v>https://docs.wto.org/imrd/directdoc.asp?DDFDocuments/u/G/SPS/NPHL543.docx</v>
      </c>
      <c r="T562" t="str">
        <f>HYPERLINK("https://docs.wto.org/imrd/directdoc.asp?DDFDocuments/v/G/SPS/NPHL543.docx", "https://docs.wto.org/imrd/directdoc.asp?DDFDocuments/v/G/SPS/NPHL543.docx")</f>
        <v>https://docs.wto.org/imrd/directdoc.asp?DDFDocuments/v/G/SPS/NPHL543.docx</v>
      </c>
      <c r="U562" t="s">
        <v>43</v>
      </c>
      <c r="V562" t="s">
        <v>43</v>
      </c>
      <c r="W562" t="s">
        <v>43</v>
      </c>
      <c r="X562" t="s">
        <v>43</v>
      </c>
      <c r="Y562" t="s">
        <v>43</v>
      </c>
      <c r="Z562" t="s">
        <v>43</v>
      </c>
      <c r="AA562" t="s">
        <v>43</v>
      </c>
      <c r="AB562" s="2" t="s">
        <v>43</v>
      </c>
      <c r="AC562" t="s">
        <v>46</v>
      </c>
      <c r="AD562" t="s">
        <v>64</v>
      </c>
      <c r="AE562" t="s">
        <v>46</v>
      </c>
      <c r="AF562" t="s">
        <v>46</v>
      </c>
      <c r="AG562" t="s">
        <v>64</v>
      </c>
      <c r="AH562" s="2" t="s">
        <v>43</v>
      </c>
    </row>
    <row r="563" spans="1:34" ht="345">
      <c r="A563" s="6" t="s">
        <v>132</v>
      </c>
      <c r="B563" s="7">
        <v>46066</v>
      </c>
      <c r="C563" s="9" t="str">
        <f>HYPERLINK("https://eping.wto.org/en/Search?viewData= G/TBT/N/USA/1662/Add.3"," G/TBT/N/USA/1662/Add.3")</f>
        <v xml:space="preserve"> G/TBT/N/USA/1662/Add.3</v>
      </c>
      <c r="D563" s="8" t="s">
        <v>2680</v>
      </c>
      <c r="E563" s="8" t="s">
        <v>2681</v>
      </c>
      <c r="F563" s="8" t="s">
        <v>2682</v>
      </c>
      <c r="G563" s="8" t="s">
        <v>43</v>
      </c>
      <c r="H563" s="8" t="s">
        <v>2683</v>
      </c>
      <c r="I563" s="8" t="s">
        <v>191</v>
      </c>
      <c r="J563" s="8" t="s">
        <v>43</v>
      </c>
      <c r="K563" s="8" t="s">
        <v>43</v>
      </c>
      <c r="L563" s="6"/>
      <c r="M563" s="7" t="s">
        <v>43</v>
      </c>
      <c r="N563" s="7"/>
      <c r="O563" s="7"/>
      <c r="P563" s="6" t="s">
        <v>44</v>
      </c>
      <c r="Q563" s="8" t="s">
        <v>2684</v>
      </c>
      <c r="R563" t="str">
        <f>HYPERLINK("https://docs.wto.org/imrd/directdoc.asp?DDFDocuments/t/G/TBTN20/USA1662A3.docx", "https://docs.wto.org/imrd/directdoc.asp?DDFDocuments/t/G/TBTN20/USA1662A3.docx")</f>
        <v>https://docs.wto.org/imrd/directdoc.asp?DDFDocuments/t/G/TBTN20/USA1662A3.docx</v>
      </c>
      <c r="S563" t="str">
        <f>HYPERLINK("https://docs.wto.org/imrd/directdoc.asp?DDFDocuments/u/G/TBTN20/USA1662A3.docx", "https://docs.wto.org/imrd/directdoc.asp?DDFDocuments/u/G/TBTN20/USA1662A3.docx")</f>
        <v>https://docs.wto.org/imrd/directdoc.asp?DDFDocuments/u/G/TBTN20/USA1662A3.docx</v>
      </c>
      <c r="T563" t="str">
        <f>HYPERLINK("https://docs.wto.org/imrd/directdoc.asp?DDFDocuments/v/G/TBTN20/USA1662A3.docx", "https://docs.wto.org/imrd/directdoc.asp?DDFDocuments/v/G/TBTN20/USA1662A3.docx")</f>
        <v>https://docs.wto.org/imrd/directdoc.asp?DDFDocuments/v/G/TBTN20/USA1662A3.docx</v>
      </c>
      <c r="U563" t="s">
        <v>64</v>
      </c>
      <c r="V563" t="s">
        <v>46</v>
      </c>
      <c r="W563" t="s">
        <v>64</v>
      </c>
      <c r="X563" t="s">
        <v>46</v>
      </c>
      <c r="Y563" t="s">
        <v>46</v>
      </c>
      <c r="Z563" t="s">
        <v>46</v>
      </c>
      <c r="AA563" t="s">
        <v>46</v>
      </c>
      <c r="AB563" s="2" t="s">
        <v>43</v>
      </c>
      <c r="AC563" t="s">
        <v>43</v>
      </c>
      <c r="AD563" t="s">
        <v>43</v>
      </c>
      <c r="AE563" t="s">
        <v>43</v>
      </c>
      <c r="AF563" t="s">
        <v>43</v>
      </c>
      <c r="AG563" t="s">
        <v>43</v>
      </c>
      <c r="AH563" s="2" t="s">
        <v>43</v>
      </c>
    </row>
    <row r="564" spans="1:34" ht="150">
      <c r="A564" s="6" t="s">
        <v>1346</v>
      </c>
      <c r="B564" s="7">
        <v>46066</v>
      </c>
      <c r="C564" s="9" t="str">
        <f>HYPERLINK("https://eping.wto.org/en/Search?viewData= G/SPS/N/KGZ/44"," G/SPS/N/KGZ/44")</f>
        <v xml:space="preserve"> G/SPS/N/KGZ/44</v>
      </c>
      <c r="D564" s="8" t="s">
        <v>2685</v>
      </c>
      <c r="E564" s="8" t="s">
        <v>2686</v>
      </c>
      <c r="F564" s="8" t="s">
        <v>2687</v>
      </c>
      <c r="G564" s="8" t="s">
        <v>2688</v>
      </c>
      <c r="H564" s="8" t="s">
        <v>43</v>
      </c>
      <c r="I564" s="8" t="s">
        <v>254</v>
      </c>
      <c r="J564" s="8" t="s">
        <v>43</v>
      </c>
      <c r="K564" s="8" t="s">
        <v>2689</v>
      </c>
      <c r="L564" s="6" t="s">
        <v>43</v>
      </c>
      <c r="M564" s="7">
        <v>46080</v>
      </c>
      <c r="N564" s="7" t="s">
        <v>304</v>
      </c>
      <c r="O564" s="7" t="s">
        <v>304</v>
      </c>
      <c r="P564" s="6" t="s">
        <v>62</v>
      </c>
      <c r="Q564" s="8" t="s">
        <v>2690</v>
      </c>
      <c r="R564" t="str">
        <f>HYPERLINK("https://docs.wto.org/imrd/directdoc.asp?DDFDocuments/t/G/SPS/NKGZ44.docx", "https://docs.wto.org/imrd/directdoc.asp?DDFDocuments/t/G/SPS/NKGZ44.docx")</f>
        <v>https://docs.wto.org/imrd/directdoc.asp?DDFDocuments/t/G/SPS/NKGZ44.docx</v>
      </c>
      <c r="S564" t="str">
        <f>HYPERLINK("https://docs.wto.org/imrd/directdoc.asp?DDFDocuments/u/G/SPS/NKGZ44.docx", "https://docs.wto.org/imrd/directdoc.asp?DDFDocuments/u/G/SPS/NKGZ44.docx")</f>
        <v>https://docs.wto.org/imrd/directdoc.asp?DDFDocuments/u/G/SPS/NKGZ44.docx</v>
      </c>
      <c r="T564" t="str">
        <f>HYPERLINK("https://docs.wto.org/imrd/directdoc.asp?DDFDocuments/v/G/SPS/NKGZ44.docx", "https://docs.wto.org/imrd/directdoc.asp?DDFDocuments/v/G/SPS/NKGZ44.docx")</f>
        <v>https://docs.wto.org/imrd/directdoc.asp?DDFDocuments/v/G/SPS/NKGZ44.docx</v>
      </c>
      <c r="U564" t="s">
        <v>43</v>
      </c>
      <c r="V564" t="s">
        <v>43</v>
      </c>
      <c r="W564" t="s">
        <v>43</v>
      </c>
      <c r="X564" t="s">
        <v>43</v>
      </c>
      <c r="Y564" t="s">
        <v>43</v>
      </c>
      <c r="Z564" t="s">
        <v>43</v>
      </c>
      <c r="AA564" t="s">
        <v>43</v>
      </c>
      <c r="AB564" s="2" t="s">
        <v>43</v>
      </c>
      <c r="AC564" t="s">
        <v>46</v>
      </c>
      <c r="AD564" t="s">
        <v>46</v>
      </c>
      <c r="AE564" t="s">
        <v>64</v>
      </c>
      <c r="AF564" t="s">
        <v>46</v>
      </c>
      <c r="AG564" t="s">
        <v>64</v>
      </c>
      <c r="AH564" s="2" t="s">
        <v>43</v>
      </c>
    </row>
    <row r="565" spans="1:34" ht="45">
      <c r="A565" s="6" t="s">
        <v>1346</v>
      </c>
      <c r="B565" s="7">
        <v>46066</v>
      </c>
      <c r="C565" s="9" t="str">
        <f>HYPERLINK("https://eping.wto.org/en/Search?viewData= G/SPS/N/KGZ/43"," G/SPS/N/KGZ/43")</f>
        <v xml:space="preserve"> G/SPS/N/KGZ/43</v>
      </c>
      <c r="D565" s="8" t="s">
        <v>2691</v>
      </c>
      <c r="E565" s="8" t="s">
        <v>2692</v>
      </c>
      <c r="F565" s="8" t="s">
        <v>2693</v>
      </c>
      <c r="G565" s="8" t="s">
        <v>43</v>
      </c>
      <c r="H565" s="8" t="s">
        <v>43</v>
      </c>
      <c r="I565" s="8" t="s">
        <v>254</v>
      </c>
      <c r="J565" s="8" t="s">
        <v>43</v>
      </c>
      <c r="K565" s="8" t="s">
        <v>255</v>
      </c>
      <c r="L565" s="6" t="s">
        <v>43</v>
      </c>
      <c r="M565" s="7">
        <v>45711</v>
      </c>
      <c r="N565" s="7" t="s">
        <v>2694</v>
      </c>
      <c r="O565" s="7" t="s">
        <v>304</v>
      </c>
      <c r="P565" s="6" t="s">
        <v>62</v>
      </c>
      <c r="Q565" s="8" t="s">
        <v>2695</v>
      </c>
      <c r="R565" t="str">
        <f>HYPERLINK("https://docs.wto.org/imrd/directdoc.asp?DDFDocuments/t/G/SPS/NKGZ43.docx", "https://docs.wto.org/imrd/directdoc.asp?DDFDocuments/t/G/SPS/NKGZ43.docx")</f>
        <v>https://docs.wto.org/imrd/directdoc.asp?DDFDocuments/t/G/SPS/NKGZ43.docx</v>
      </c>
      <c r="S565" t="str">
        <f>HYPERLINK("https://docs.wto.org/imrd/directdoc.asp?DDFDocuments/u/G/SPS/NKGZ43.docx", "https://docs.wto.org/imrd/directdoc.asp?DDFDocuments/u/G/SPS/NKGZ43.docx")</f>
        <v>https://docs.wto.org/imrd/directdoc.asp?DDFDocuments/u/G/SPS/NKGZ43.docx</v>
      </c>
      <c r="T565" t="str">
        <f>HYPERLINK("https://docs.wto.org/imrd/directdoc.asp?DDFDocuments/v/G/SPS/NKGZ43.docx", "https://docs.wto.org/imrd/directdoc.asp?DDFDocuments/v/G/SPS/NKGZ43.docx")</f>
        <v>https://docs.wto.org/imrd/directdoc.asp?DDFDocuments/v/G/SPS/NKGZ43.docx</v>
      </c>
      <c r="U565" t="s">
        <v>43</v>
      </c>
      <c r="V565" t="s">
        <v>43</v>
      </c>
      <c r="W565" t="s">
        <v>43</v>
      </c>
      <c r="X565" t="s">
        <v>43</v>
      </c>
      <c r="Y565" t="s">
        <v>43</v>
      </c>
      <c r="Z565" t="s">
        <v>43</v>
      </c>
      <c r="AA565" t="s">
        <v>43</v>
      </c>
      <c r="AB565" s="2" t="s">
        <v>43</v>
      </c>
      <c r="AC565" t="s">
        <v>46</v>
      </c>
      <c r="AD565" t="s">
        <v>46</v>
      </c>
      <c r="AE565" t="s">
        <v>46</v>
      </c>
      <c r="AF565" t="s">
        <v>64</v>
      </c>
      <c r="AG565" t="s">
        <v>99</v>
      </c>
      <c r="AH565" s="2" t="s">
        <v>43</v>
      </c>
    </row>
    <row r="566" spans="1:34" ht="240">
      <c r="A566" s="6" t="s">
        <v>1834</v>
      </c>
      <c r="B566" s="7">
        <v>46066</v>
      </c>
      <c r="C566" s="9" t="str">
        <f>HYPERLINK("https://eping.wto.org/en/Search?viewData= G/SPS/N/ARE/320"," G/SPS/N/ARE/320")</f>
        <v xml:space="preserve"> G/SPS/N/ARE/320</v>
      </c>
      <c r="D566" s="8" t="s">
        <v>2696</v>
      </c>
      <c r="E566" s="8" t="s">
        <v>2697</v>
      </c>
      <c r="F566" s="8" t="s">
        <v>2698</v>
      </c>
      <c r="G566" s="8" t="s">
        <v>43</v>
      </c>
      <c r="H566" s="8" t="s">
        <v>43</v>
      </c>
      <c r="I566" s="8" t="s">
        <v>1721</v>
      </c>
      <c r="J566" s="8" t="s">
        <v>43</v>
      </c>
      <c r="K566" s="8" t="s">
        <v>2699</v>
      </c>
      <c r="L566" s="6" t="s">
        <v>43</v>
      </c>
      <c r="M566" s="7" t="s">
        <v>43</v>
      </c>
      <c r="N566" s="7">
        <v>46076</v>
      </c>
      <c r="O566" s="7">
        <v>46076</v>
      </c>
      <c r="P566" s="6" t="s">
        <v>62</v>
      </c>
      <c r="Q566" s="8" t="s">
        <v>2700</v>
      </c>
      <c r="R566" t="str">
        <f>HYPERLINK("https://docs.wto.org/imrd/directdoc.asp?DDFDocuments/t/G/SPS/NARE320.docx", "https://docs.wto.org/imrd/directdoc.asp?DDFDocuments/t/G/SPS/NARE320.docx")</f>
        <v>https://docs.wto.org/imrd/directdoc.asp?DDFDocuments/t/G/SPS/NARE320.docx</v>
      </c>
      <c r="S566" t="str">
        <f>HYPERLINK("https://docs.wto.org/imrd/directdoc.asp?DDFDocuments/u/G/SPS/NARE320.docx", "https://docs.wto.org/imrd/directdoc.asp?DDFDocuments/u/G/SPS/NARE320.docx")</f>
        <v>https://docs.wto.org/imrd/directdoc.asp?DDFDocuments/u/G/SPS/NARE320.docx</v>
      </c>
      <c r="T566" t="str">
        <f>HYPERLINK("https://docs.wto.org/imrd/directdoc.asp?DDFDocuments/v/G/SPS/NARE320.docx", "https://docs.wto.org/imrd/directdoc.asp?DDFDocuments/v/G/SPS/NARE320.docx")</f>
        <v>https://docs.wto.org/imrd/directdoc.asp?DDFDocuments/v/G/SPS/NARE320.docx</v>
      </c>
      <c r="U566" t="s">
        <v>43</v>
      </c>
      <c r="V566" t="s">
        <v>43</v>
      </c>
      <c r="W566" t="s">
        <v>43</v>
      </c>
      <c r="X566" t="s">
        <v>43</v>
      </c>
      <c r="Y566" t="s">
        <v>43</v>
      </c>
      <c r="Z566" t="s">
        <v>43</v>
      </c>
      <c r="AA566" t="s">
        <v>43</v>
      </c>
      <c r="AB566" s="2" t="s">
        <v>43</v>
      </c>
      <c r="AC566" t="s">
        <v>46</v>
      </c>
      <c r="AD566" t="s">
        <v>46</v>
      </c>
      <c r="AE566" t="s">
        <v>46</v>
      </c>
      <c r="AF566" t="s">
        <v>64</v>
      </c>
      <c r="AG566" t="s">
        <v>99</v>
      </c>
      <c r="AH566" s="2" t="s">
        <v>43</v>
      </c>
    </row>
    <row r="567" spans="1:34" ht="75">
      <c r="A567" s="6" t="s">
        <v>1155</v>
      </c>
      <c r="B567" s="7">
        <v>46066</v>
      </c>
      <c r="C567" s="9" t="str">
        <f>HYPERLINK("https://eping.wto.org/en/Search?viewData= G/TBT/N/CZE/257/Add.1"," G/TBT/N/CZE/257/Add.1")</f>
        <v xml:space="preserve"> G/TBT/N/CZE/257/Add.1</v>
      </c>
      <c r="D567" s="8" t="s">
        <v>2701</v>
      </c>
      <c r="E567" s="8" t="s">
        <v>2702</v>
      </c>
      <c r="F567" s="8" t="s">
        <v>2703</v>
      </c>
      <c r="G567" s="8" t="s">
        <v>43</v>
      </c>
      <c r="H567" s="8" t="s">
        <v>2704</v>
      </c>
      <c r="I567" s="8" t="s">
        <v>275</v>
      </c>
      <c r="J567" s="8" t="s">
        <v>43</v>
      </c>
      <c r="K567" s="8" t="s">
        <v>43</v>
      </c>
      <c r="L567" s="6"/>
      <c r="M567" s="7" t="s">
        <v>43</v>
      </c>
      <c r="N567" s="7"/>
      <c r="O567" s="7"/>
      <c r="P567" s="6" t="s">
        <v>44</v>
      </c>
      <c r="Q567" s="8" t="s">
        <v>2705</v>
      </c>
      <c r="R567" t="str">
        <f>HYPERLINK("https://docs.wto.org/imrd/directdoc.asp?DDFDocuments/t/G/TBTN25/CZE257A1.docx", "https://docs.wto.org/imrd/directdoc.asp?DDFDocuments/t/G/TBTN25/CZE257A1.docx")</f>
        <v>https://docs.wto.org/imrd/directdoc.asp?DDFDocuments/t/G/TBTN25/CZE257A1.docx</v>
      </c>
      <c r="S567" t="str">
        <f>HYPERLINK("https://docs.wto.org/imrd/directdoc.asp?DDFDocuments/u/G/TBTN25/CZE257A1.docx", "https://docs.wto.org/imrd/directdoc.asp?DDFDocuments/u/G/TBTN25/CZE257A1.docx")</f>
        <v>https://docs.wto.org/imrd/directdoc.asp?DDFDocuments/u/G/TBTN25/CZE257A1.docx</v>
      </c>
      <c r="T567" t="str">
        <f>HYPERLINK("https://docs.wto.org/imrd/directdoc.asp?DDFDocuments/v/G/TBTN25/CZE257A1.docx", "https://docs.wto.org/imrd/directdoc.asp?DDFDocuments/v/G/TBTN25/CZE257A1.docx")</f>
        <v>https://docs.wto.org/imrd/directdoc.asp?DDFDocuments/v/G/TBTN25/CZE257A1.docx</v>
      </c>
      <c r="U567" t="s">
        <v>46</v>
      </c>
      <c r="V567" t="s">
        <v>46</v>
      </c>
      <c r="W567" t="s">
        <v>46</v>
      </c>
      <c r="X567" t="s">
        <v>46</v>
      </c>
      <c r="Y567" t="s">
        <v>46</v>
      </c>
      <c r="Z567" t="s">
        <v>46</v>
      </c>
      <c r="AA567" t="s">
        <v>46</v>
      </c>
      <c r="AB567" s="2" t="s">
        <v>43</v>
      </c>
      <c r="AC567" t="s">
        <v>43</v>
      </c>
      <c r="AD567" t="s">
        <v>43</v>
      </c>
      <c r="AE567" t="s">
        <v>43</v>
      </c>
      <c r="AF567" t="s">
        <v>43</v>
      </c>
      <c r="AG567" t="s">
        <v>43</v>
      </c>
      <c r="AH567" s="2" t="s">
        <v>43</v>
      </c>
    </row>
    <row r="568" spans="1:34" ht="60">
      <c r="A568" s="6" t="s">
        <v>1328</v>
      </c>
      <c r="B568" s="7">
        <v>46066</v>
      </c>
      <c r="C568" s="9" t="str">
        <f>HYPERLINK("https://eping.wto.org/en/Search?viewData= G/SPS/N/PHL/542"," G/SPS/N/PHL/542")</f>
        <v xml:space="preserve"> G/SPS/N/PHL/542</v>
      </c>
      <c r="D568" s="8" t="s">
        <v>2706</v>
      </c>
      <c r="E568" s="8" t="s">
        <v>2707</v>
      </c>
      <c r="F568" s="8" t="s">
        <v>2708</v>
      </c>
      <c r="G568" s="8" t="s">
        <v>2709</v>
      </c>
      <c r="H568" s="8" t="s">
        <v>650</v>
      </c>
      <c r="I568" s="8" t="s">
        <v>104</v>
      </c>
      <c r="J568" s="8" t="s">
        <v>43</v>
      </c>
      <c r="K568" s="8" t="s">
        <v>749</v>
      </c>
      <c r="L568" s="6" t="s">
        <v>43</v>
      </c>
      <c r="M568" s="7">
        <v>46090</v>
      </c>
      <c r="N568" s="7">
        <v>46090</v>
      </c>
      <c r="O568" s="7">
        <v>46266</v>
      </c>
      <c r="P568" s="6" t="s">
        <v>62</v>
      </c>
      <c r="Q568" s="8" t="s">
        <v>2710</v>
      </c>
      <c r="R568" t="str">
        <f>HYPERLINK("https://docs.wto.org/imrd/directdoc.asp?DDFDocuments/t/G/SPS/NPHL542.docx", "https://docs.wto.org/imrd/directdoc.asp?DDFDocuments/t/G/SPS/NPHL542.docx")</f>
        <v>https://docs.wto.org/imrd/directdoc.asp?DDFDocuments/t/G/SPS/NPHL542.docx</v>
      </c>
      <c r="S568" t="str">
        <f>HYPERLINK("https://docs.wto.org/imrd/directdoc.asp?DDFDocuments/u/G/SPS/NPHL542.docx", "https://docs.wto.org/imrd/directdoc.asp?DDFDocuments/u/G/SPS/NPHL542.docx")</f>
        <v>https://docs.wto.org/imrd/directdoc.asp?DDFDocuments/u/G/SPS/NPHL542.docx</v>
      </c>
      <c r="T568" t="str">
        <f>HYPERLINK("https://docs.wto.org/imrd/directdoc.asp?DDFDocuments/v/G/SPS/NPHL542.docx", "https://docs.wto.org/imrd/directdoc.asp?DDFDocuments/v/G/SPS/NPHL542.docx")</f>
        <v>https://docs.wto.org/imrd/directdoc.asp?DDFDocuments/v/G/SPS/NPHL542.docx</v>
      </c>
      <c r="U568" t="s">
        <v>43</v>
      </c>
      <c r="V568" t="s">
        <v>43</v>
      </c>
      <c r="W568" t="s">
        <v>43</v>
      </c>
      <c r="X568" t="s">
        <v>43</v>
      </c>
      <c r="Y568" t="s">
        <v>43</v>
      </c>
      <c r="Z568" t="s">
        <v>43</v>
      </c>
      <c r="AA568" t="s">
        <v>43</v>
      </c>
      <c r="AB568" s="2" t="s">
        <v>43</v>
      </c>
      <c r="AC568" t="s">
        <v>46</v>
      </c>
      <c r="AD568" t="s">
        <v>64</v>
      </c>
      <c r="AE568" t="s">
        <v>46</v>
      </c>
      <c r="AF568" t="s">
        <v>46</v>
      </c>
      <c r="AG568" t="s">
        <v>64</v>
      </c>
      <c r="AH568" s="2" t="s">
        <v>43</v>
      </c>
    </row>
    <row r="569" spans="1:34" ht="60">
      <c r="A569" s="6" t="s">
        <v>82</v>
      </c>
      <c r="B569" s="7">
        <v>46066</v>
      </c>
      <c r="C569" s="9" t="str">
        <f>HYPERLINK("https://eping.wto.org/en/Search?viewData= G/TBT/N/JPN/899"," G/TBT/N/JPN/899")</f>
        <v xml:space="preserve"> G/TBT/N/JPN/899</v>
      </c>
      <c r="D569" s="8" t="s">
        <v>2711</v>
      </c>
      <c r="E569" s="8" t="s">
        <v>2712</v>
      </c>
      <c r="F569" s="8" t="s">
        <v>2713</v>
      </c>
      <c r="G569" s="8" t="s">
        <v>43</v>
      </c>
      <c r="H569" s="8" t="s">
        <v>2714</v>
      </c>
      <c r="I569" s="8" t="s">
        <v>52</v>
      </c>
      <c r="J569" s="8" t="s">
        <v>2715</v>
      </c>
      <c r="K569" s="8" t="s">
        <v>43</v>
      </c>
      <c r="L569" s="6"/>
      <c r="M569" s="7">
        <v>46126</v>
      </c>
      <c r="N569" s="7" t="s">
        <v>2716</v>
      </c>
      <c r="O569" s="7" t="s">
        <v>2716</v>
      </c>
      <c r="P569" s="6" t="s">
        <v>62</v>
      </c>
      <c r="Q569" s="8" t="s">
        <v>2717</v>
      </c>
      <c r="R569" t="str">
        <f>HYPERLINK("https://docs.wto.org/imrd/directdoc.asp?DDFDocuments/t/G/TBTN26/JPN899.docx", "https://docs.wto.org/imrd/directdoc.asp?DDFDocuments/t/G/TBTN26/JPN899.docx")</f>
        <v>https://docs.wto.org/imrd/directdoc.asp?DDFDocuments/t/G/TBTN26/JPN899.docx</v>
      </c>
      <c r="S569" t="str">
        <f>HYPERLINK("https://docs.wto.org/imrd/directdoc.asp?DDFDocuments/u/G/TBTN26/JPN899.docx", "https://docs.wto.org/imrd/directdoc.asp?DDFDocuments/u/G/TBTN26/JPN899.docx")</f>
        <v>https://docs.wto.org/imrd/directdoc.asp?DDFDocuments/u/G/TBTN26/JPN899.docx</v>
      </c>
      <c r="T569" t="str">
        <f>HYPERLINK("https://docs.wto.org/imrd/directdoc.asp?DDFDocuments/v/G/TBTN26/JPN899.docx", "https://docs.wto.org/imrd/directdoc.asp?DDFDocuments/v/G/TBTN26/JPN899.docx")</f>
        <v>https://docs.wto.org/imrd/directdoc.asp?DDFDocuments/v/G/TBTN26/JPN899.docx</v>
      </c>
      <c r="U569" t="s">
        <v>64</v>
      </c>
      <c r="V569" t="s">
        <v>46</v>
      </c>
      <c r="W569" t="s">
        <v>46</v>
      </c>
      <c r="X569" t="s">
        <v>46</v>
      </c>
      <c r="Y569" t="s">
        <v>46</v>
      </c>
      <c r="Z569" t="s">
        <v>46</v>
      </c>
      <c r="AA569" t="s">
        <v>46</v>
      </c>
      <c r="AB569" s="2" t="s">
        <v>2718</v>
      </c>
      <c r="AC569" t="s">
        <v>43</v>
      </c>
      <c r="AD569" t="s">
        <v>43</v>
      </c>
      <c r="AE569" t="s">
        <v>43</v>
      </c>
      <c r="AF569" t="s">
        <v>43</v>
      </c>
      <c r="AG569" t="s">
        <v>43</v>
      </c>
      <c r="AH569" s="2" t="s">
        <v>43</v>
      </c>
    </row>
    <row r="570" spans="1:34" ht="45">
      <c r="A570" s="6" t="s">
        <v>82</v>
      </c>
      <c r="B570" s="7">
        <v>46066</v>
      </c>
      <c r="C570" s="9" t="str">
        <f>HYPERLINK("https://eping.wto.org/en/Search?viewData= G/TBT/N/JPN/900"," G/TBT/N/JPN/900")</f>
        <v xml:space="preserve"> G/TBT/N/JPN/900</v>
      </c>
      <c r="D570" s="8" t="s">
        <v>2719</v>
      </c>
      <c r="E570" s="8" t="s">
        <v>2720</v>
      </c>
      <c r="F570" s="8" t="s">
        <v>2721</v>
      </c>
      <c r="G570" s="8" t="s">
        <v>1426</v>
      </c>
      <c r="H570" s="8" t="s">
        <v>1427</v>
      </c>
      <c r="I570" s="8" t="s">
        <v>52</v>
      </c>
      <c r="J570" s="8" t="s">
        <v>2722</v>
      </c>
      <c r="K570" s="8" t="s">
        <v>43</v>
      </c>
      <c r="L570" s="6"/>
      <c r="M570" s="7">
        <v>46096</v>
      </c>
      <c r="N570" s="7" t="s">
        <v>2423</v>
      </c>
      <c r="O570" s="7" t="s">
        <v>2423</v>
      </c>
      <c r="P570" s="6" t="s">
        <v>62</v>
      </c>
      <c r="Q570" s="8" t="s">
        <v>2723</v>
      </c>
      <c r="R570" t="str">
        <f>HYPERLINK("https://docs.wto.org/imrd/directdoc.asp?DDFDocuments/t/G/TBTN26/JPN900.docx", "https://docs.wto.org/imrd/directdoc.asp?DDFDocuments/t/G/TBTN26/JPN900.docx")</f>
        <v>https://docs.wto.org/imrd/directdoc.asp?DDFDocuments/t/G/TBTN26/JPN900.docx</v>
      </c>
      <c r="S570" t="str">
        <f>HYPERLINK("https://docs.wto.org/imrd/directdoc.asp?DDFDocuments/u/G/TBTN26/JPN900.docx", "https://docs.wto.org/imrd/directdoc.asp?DDFDocuments/u/G/TBTN26/JPN900.docx")</f>
        <v>https://docs.wto.org/imrd/directdoc.asp?DDFDocuments/u/G/TBTN26/JPN900.docx</v>
      </c>
      <c r="T570" t="str">
        <f>HYPERLINK("https://docs.wto.org/imrd/directdoc.asp?DDFDocuments/v/G/TBTN26/JPN900.docx", "https://docs.wto.org/imrd/directdoc.asp?DDFDocuments/v/G/TBTN26/JPN900.docx")</f>
        <v>https://docs.wto.org/imrd/directdoc.asp?DDFDocuments/v/G/TBTN26/JPN900.docx</v>
      </c>
      <c r="U570" t="s">
        <v>64</v>
      </c>
      <c r="V570" t="s">
        <v>46</v>
      </c>
      <c r="W570" t="s">
        <v>46</v>
      </c>
      <c r="X570" t="s">
        <v>46</v>
      </c>
      <c r="Y570" t="s">
        <v>46</v>
      </c>
      <c r="Z570" t="s">
        <v>46</v>
      </c>
      <c r="AA570" t="s">
        <v>46</v>
      </c>
      <c r="AB570" s="2" t="s">
        <v>2724</v>
      </c>
      <c r="AC570" t="s">
        <v>43</v>
      </c>
      <c r="AD570" t="s">
        <v>43</v>
      </c>
      <c r="AE570" t="s">
        <v>43</v>
      </c>
      <c r="AF570" t="s">
        <v>43</v>
      </c>
      <c r="AG570" t="s">
        <v>43</v>
      </c>
      <c r="AH570" s="2" t="s">
        <v>43</v>
      </c>
    </row>
    <row r="571" spans="1:34" ht="105">
      <c r="A571" s="6" t="s">
        <v>892</v>
      </c>
      <c r="B571" s="7">
        <v>46065</v>
      </c>
      <c r="C571" s="9" t="str">
        <f>HYPERLINK("https://eping.wto.org/en/Search?viewData= G/SPS/N/PAN/113"," G/SPS/N/PAN/113")</f>
        <v xml:space="preserve"> G/SPS/N/PAN/113</v>
      </c>
      <c r="D571" s="8" t="s">
        <v>2725</v>
      </c>
      <c r="E571" s="8" t="s">
        <v>2726</v>
      </c>
      <c r="F571" s="8" t="s">
        <v>2727</v>
      </c>
      <c r="G571" s="8" t="s">
        <v>43</v>
      </c>
      <c r="H571" s="8" t="s">
        <v>43</v>
      </c>
      <c r="I571" s="8" t="s">
        <v>94</v>
      </c>
      <c r="J571" s="8" t="s">
        <v>43</v>
      </c>
      <c r="K571" s="8" t="s">
        <v>255</v>
      </c>
      <c r="L571" s="6" t="s">
        <v>43</v>
      </c>
      <c r="M571" s="7">
        <v>46125</v>
      </c>
      <c r="N571" s="7">
        <v>46082</v>
      </c>
      <c r="O571" s="7">
        <v>46082</v>
      </c>
      <c r="P571" s="6" t="s">
        <v>62</v>
      </c>
      <c r="Q571" s="8" t="s">
        <v>2728</v>
      </c>
      <c r="R571" t="str">
        <f>HYPERLINK("https://docs.wto.org/imrd/directdoc.asp?DDFDocuments/t/G/SPS/NPAN113.docx", "https://docs.wto.org/imrd/directdoc.asp?DDFDocuments/t/G/SPS/NPAN113.docx")</f>
        <v>https://docs.wto.org/imrd/directdoc.asp?DDFDocuments/t/G/SPS/NPAN113.docx</v>
      </c>
      <c r="S571" t="str">
        <f>HYPERLINK("https://docs.wto.org/imrd/directdoc.asp?DDFDocuments/u/G/SPS/NPAN113.docx", "https://docs.wto.org/imrd/directdoc.asp?DDFDocuments/u/G/SPS/NPAN113.docx")</f>
        <v>https://docs.wto.org/imrd/directdoc.asp?DDFDocuments/u/G/SPS/NPAN113.docx</v>
      </c>
      <c r="T571" t="str">
        <f>HYPERLINK("https://docs.wto.org/imrd/directdoc.asp?DDFDocuments/v/G/SPS/NPAN113.docx", "https://docs.wto.org/imrd/directdoc.asp?DDFDocuments/v/G/SPS/NPAN113.docx")</f>
        <v>https://docs.wto.org/imrd/directdoc.asp?DDFDocuments/v/G/SPS/NPAN113.docx</v>
      </c>
      <c r="U571" t="s">
        <v>43</v>
      </c>
      <c r="V571" t="s">
        <v>43</v>
      </c>
      <c r="W571" t="s">
        <v>43</v>
      </c>
      <c r="X571" t="s">
        <v>43</v>
      </c>
      <c r="Y571" t="s">
        <v>43</v>
      </c>
      <c r="Z571" t="s">
        <v>43</v>
      </c>
      <c r="AA571" t="s">
        <v>43</v>
      </c>
      <c r="AB571" s="2" t="s">
        <v>43</v>
      </c>
      <c r="AC571" t="s">
        <v>46</v>
      </c>
      <c r="AD571" t="s">
        <v>46</v>
      </c>
      <c r="AE571" t="s">
        <v>64</v>
      </c>
      <c r="AF571" t="s">
        <v>46</v>
      </c>
      <c r="AG571" t="s">
        <v>64</v>
      </c>
      <c r="AH571" s="2" t="s">
        <v>43</v>
      </c>
    </row>
    <row r="572" spans="1:34" ht="210">
      <c r="A572" s="6" t="s">
        <v>1155</v>
      </c>
      <c r="B572" s="7">
        <v>46065</v>
      </c>
      <c r="C572" s="9" t="str">
        <f>HYPERLINK("https://eping.wto.org/en/Search?viewData= G/TBT/N/CZE/265"," G/TBT/N/CZE/265")</f>
        <v xml:space="preserve"> G/TBT/N/CZE/265</v>
      </c>
      <c r="D572" s="8" t="s">
        <v>2729</v>
      </c>
      <c r="E572" s="8" t="s">
        <v>2730</v>
      </c>
      <c r="F572" s="8" t="s">
        <v>2731</v>
      </c>
      <c r="G572" s="8" t="s">
        <v>43</v>
      </c>
      <c r="H572" s="8" t="s">
        <v>2732</v>
      </c>
      <c r="I572" s="8" t="s">
        <v>1114</v>
      </c>
      <c r="J572" s="8" t="s">
        <v>2733</v>
      </c>
      <c r="K572" s="8" t="s">
        <v>43</v>
      </c>
      <c r="L572" s="6"/>
      <c r="M572" s="7">
        <v>46124</v>
      </c>
      <c r="N572" s="7">
        <v>46154</v>
      </c>
      <c r="O572" s="7">
        <v>46169</v>
      </c>
      <c r="P572" s="6" t="s">
        <v>62</v>
      </c>
      <c r="Q572" s="8" t="s">
        <v>2734</v>
      </c>
      <c r="R572" t="str">
        <f>HYPERLINK("https://docs.wto.org/imrd/directdoc.asp?DDFDocuments/t/G/TBTN26/CZE265.docx", "https://docs.wto.org/imrd/directdoc.asp?DDFDocuments/t/G/TBTN26/CZE265.docx")</f>
        <v>https://docs.wto.org/imrd/directdoc.asp?DDFDocuments/t/G/TBTN26/CZE265.docx</v>
      </c>
      <c r="S572" t="str">
        <f>HYPERLINK("https://docs.wto.org/imrd/directdoc.asp?DDFDocuments/u/G/TBTN26/CZE265.docx", "https://docs.wto.org/imrd/directdoc.asp?DDFDocuments/u/G/TBTN26/CZE265.docx")</f>
        <v>https://docs.wto.org/imrd/directdoc.asp?DDFDocuments/u/G/TBTN26/CZE265.docx</v>
      </c>
      <c r="T572" t="str">
        <f>HYPERLINK("https://docs.wto.org/imrd/directdoc.asp?DDFDocuments/v/G/TBTN26/CZE265.docx", "https://docs.wto.org/imrd/directdoc.asp?DDFDocuments/v/G/TBTN26/CZE265.docx")</f>
        <v>https://docs.wto.org/imrd/directdoc.asp?DDFDocuments/v/G/TBTN26/CZE265.docx</v>
      </c>
      <c r="U572" t="s">
        <v>64</v>
      </c>
      <c r="V572" t="s">
        <v>46</v>
      </c>
      <c r="W572" t="s">
        <v>46</v>
      </c>
      <c r="X572" t="s">
        <v>46</v>
      </c>
      <c r="Y572" t="s">
        <v>46</v>
      </c>
      <c r="Z572" t="s">
        <v>46</v>
      </c>
      <c r="AA572" t="s">
        <v>46</v>
      </c>
      <c r="AB572" s="2" t="s">
        <v>2735</v>
      </c>
      <c r="AC572" t="s">
        <v>43</v>
      </c>
      <c r="AD572" t="s">
        <v>43</v>
      </c>
      <c r="AE572" t="s">
        <v>43</v>
      </c>
      <c r="AF572" t="s">
        <v>43</v>
      </c>
      <c r="AG572" t="s">
        <v>43</v>
      </c>
      <c r="AH572" s="2" t="s">
        <v>43</v>
      </c>
    </row>
    <row r="573" spans="1:34" ht="45">
      <c r="A573" s="6" t="s">
        <v>2569</v>
      </c>
      <c r="B573" s="7">
        <v>46065</v>
      </c>
      <c r="C573" s="9" t="str">
        <f>HYPERLINK("https://eping.wto.org/en/Search?viewData= G/TBT/N/JOR/91"," G/TBT/N/JOR/91")</f>
        <v xml:space="preserve"> G/TBT/N/JOR/91</v>
      </c>
      <c r="D573" s="8" t="s">
        <v>2736</v>
      </c>
      <c r="E573" s="8" t="s">
        <v>2737</v>
      </c>
      <c r="F573" s="8" t="s">
        <v>2572</v>
      </c>
      <c r="G573" s="8" t="s">
        <v>43</v>
      </c>
      <c r="H573" s="8" t="s">
        <v>1985</v>
      </c>
      <c r="I573" s="8" t="s">
        <v>2050</v>
      </c>
      <c r="J573" s="8" t="s">
        <v>43</v>
      </c>
      <c r="K573" s="8" t="s">
        <v>240</v>
      </c>
      <c r="L573" s="6"/>
      <c r="M573" s="7">
        <v>46125</v>
      </c>
      <c r="N573" s="7">
        <v>46096</v>
      </c>
      <c r="O573" s="7">
        <v>46157</v>
      </c>
      <c r="P573" s="6" t="s">
        <v>62</v>
      </c>
      <c r="Q573" s="8" t="s">
        <v>2738</v>
      </c>
      <c r="R573" t="str">
        <f>HYPERLINK("https://docs.wto.org/imrd/directdoc.asp?DDFDocuments/t/G/TBTN26/JOR91.docx", "https://docs.wto.org/imrd/directdoc.asp?DDFDocuments/t/G/TBTN26/JOR91.docx")</f>
        <v>https://docs.wto.org/imrd/directdoc.asp?DDFDocuments/t/G/TBTN26/JOR91.docx</v>
      </c>
      <c r="S573" t="str">
        <f>HYPERLINK("https://docs.wto.org/imrd/directdoc.asp?DDFDocuments/u/G/TBTN26/JOR91.docx", "https://docs.wto.org/imrd/directdoc.asp?DDFDocuments/u/G/TBTN26/JOR91.docx")</f>
        <v>https://docs.wto.org/imrd/directdoc.asp?DDFDocuments/u/G/TBTN26/JOR91.docx</v>
      </c>
      <c r="T573" t="str">
        <f>HYPERLINK("https://docs.wto.org/imrd/directdoc.asp?DDFDocuments/v/G/TBTN26/JOR91.docx", "https://docs.wto.org/imrd/directdoc.asp?DDFDocuments/v/G/TBTN26/JOR91.docx")</f>
        <v>https://docs.wto.org/imrd/directdoc.asp?DDFDocuments/v/G/TBTN26/JOR91.docx</v>
      </c>
      <c r="U573" t="s">
        <v>64</v>
      </c>
      <c r="V573" t="s">
        <v>46</v>
      </c>
      <c r="W573" t="s">
        <v>46</v>
      </c>
      <c r="X573" t="s">
        <v>46</v>
      </c>
      <c r="Y573" t="s">
        <v>46</v>
      </c>
      <c r="Z573" t="s">
        <v>46</v>
      </c>
      <c r="AA573" t="s">
        <v>46</v>
      </c>
      <c r="AB573" s="2" t="s">
        <v>2739</v>
      </c>
      <c r="AC573" t="s">
        <v>43</v>
      </c>
      <c r="AD573" t="s">
        <v>43</v>
      </c>
      <c r="AE573" t="s">
        <v>43</v>
      </c>
      <c r="AF573" t="s">
        <v>43</v>
      </c>
      <c r="AG573" t="s">
        <v>43</v>
      </c>
      <c r="AH573" s="2" t="s">
        <v>43</v>
      </c>
    </row>
    <row r="574" spans="1:34" ht="285">
      <c r="A574" s="6" t="s">
        <v>1777</v>
      </c>
      <c r="B574" s="7">
        <v>46065</v>
      </c>
      <c r="C574" s="9" t="str">
        <f>HYPERLINK("https://eping.wto.org/en/Search?viewData= G/TBT/N/DNK/146"," G/TBT/N/DNK/146")</f>
        <v xml:space="preserve"> G/TBT/N/DNK/146</v>
      </c>
      <c r="D574" s="8" t="s">
        <v>2740</v>
      </c>
      <c r="E574" s="8" t="s">
        <v>2741</v>
      </c>
      <c r="F574" s="8" t="s">
        <v>2742</v>
      </c>
      <c r="G574" s="8" t="s">
        <v>2743</v>
      </c>
      <c r="H574" s="8" t="s">
        <v>2744</v>
      </c>
      <c r="I574" s="8" t="s">
        <v>275</v>
      </c>
      <c r="J574" s="8" t="s">
        <v>43</v>
      </c>
      <c r="K574" s="8" t="s">
        <v>2745</v>
      </c>
      <c r="L574" s="6"/>
      <c r="M574" s="7">
        <v>46125</v>
      </c>
      <c r="N574" s="7">
        <v>46204</v>
      </c>
      <c r="O574" s="7">
        <v>46204</v>
      </c>
      <c r="P574" s="6" t="s">
        <v>62</v>
      </c>
      <c r="Q574" s="8" t="s">
        <v>2746</v>
      </c>
      <c r="R574" t="str">
        <f>HYPERLINK("https://docs.wto.org/imrd/directdoc.asp?DDFDocuments/t/G/TBTN26/DNK146.docx", "https://docs.wto.org/imrd/directdoc.asp?DDFDocuments/t/G/TBTN26/DNK146.docx")</f>
        <v>https://docs.wto.org/imrd/directdoc.asp?DDFDocuments/t/G/TBTN26/DNK146.docx</v>
      </c>
      <c r="S574" t="str">
        <f>HYPERLINK("https://docs.wto.org/imrd/directdoc.asp?DDFDocuments/u/G/TBTN26/DNK146.docx", "https://docs.wto.org/imrd/directdoc.asp?DDFDocuments/u/G/TBTN26/DNK146.docx")</f>
        <v>https://docs.wto.org/imrd/directdoc.asp?DDFDocuments/u/G/TBTN26/DNK146.docx</v>
      </c>
      <c r="T574" t="str">
        <f>HYPERLINK("https://docs.wto.org/imrd/directdoc.asp?DDFDocuments/v/G/TBTN26/DNK146.docx", "https://docs.wto.org/imrd/directdoc.asp?DDFDocuments/v/G/TBTN26/DNK146.docx")</f>
        <v>https://docs.wto.org/imrd/directdoc.asp?DDFDocuments/v/G/TBTN26/DNK146.docx</v>
      </c>
      <c r="U574" t="s">
        <v>64</v>
      </c>
      <c r="V574" t="s">
        <v>46</v>
      </c>
      <c r="W574" t="s">
        <v>46</v>
      </c>
      <c r="X574" t="s">
        <v>46</v>
      </c>
      <c r="Y574" t="s">
        <v>46</v>
      </c>
      <c r="Z574" t="s">
        <v>46</v>
      </c>
      <c r="AA574" t="s">
        <v>46</v>
      </c>
      <c r="AB574" s="2" t="s">
        <v>2747</v>
      </c>
      <c r="AC574" t="s">
        <v>43</v>
      </c>
      <c r="AD574" t="s">
        <v>43</v>
      </c>
      <c r="AE574" t="s">
        <v>43</v>
      </c>
      <c r="AF574" t="s">
        <v>43</v>
      </c>
      <c r="AG574" t="s">
        <v>43</v>
      </c>
      <c r="AH574" s="2" t="s">
        <v>43</v>
      </c>
    </row>
    <row r="575" spans="1:34" ht="105">
      <c r="A575" s="6" t="s">
        <v>390</v>
      </c>
      <c r="B575" s="7">
        <v>46065</v>
      </c>
      <c r="C575" s="9" t="str">
        <f>HYPERLINK("https://eping.wto.org/en/Search?viewData= G/TBT/N/BDI/311/Add.3, G/TBT/N/KEN/1357/Add.3, G/TBT/N/RWA/752/Add.3, G/TBT/N/TZA/875/Add.3, G/TBT/N/UGA/1722/Add.3"," G/TBT/N/BDI/311/Add.3, G/TBT/N/KEN/1357/Add.3, G/TBT/N/RWA/752/Add.3, G/TBT/N/TZA/875/Add.3, G/TBT/N/UGA/1722/Add.3")</f>
        <v xml:space="preserve"> G/TBT/N/BDI/311/Add.3, G/TBT/N/KEN/1357/Add.3, G/TBT/N/RWA/752/Add.3, G/TBT/N/TZA/875/Add.3, G/TBT/N/UGA/1722/Add.3</v>
      </c>
      <c r="D575" s="8" t="s">
        <v>2748</v>
      </c>
      <c r="E575" s="8" t="s">
        <v>2749</v>
      </c>
      <c r="F575" s="8" t="s">
        <v>2750</v>
      </c>
      <c r="G575" s="8" t="s">
        <v>2751</v>
      </c>
      <c r="H575" s="8" t="s">
        <v>2752</v>
      </c>
      <c r="I575" s="8" t="s">
        <v>2753</v>
      </c>
      <c r="J575" s="8" t="s">
        <v>43</v>
      </c>
      <c r="K575" s="8" t="s">
        <v>1029</v>
      </c>
      <c r="L575" s="6"/>
      <c r="M575" s="7" t="s">
        <v>43</v>
      </c>
      <c r="N575" s="7"/>
      <c r="O575" s="7"/>
      <c r="P575" s="6" t="s">
        <v>44</v>
      </c>
      <c r="Q575" s="6"/>
      <c r="R575" t="str">
        <f>HYPERLINK("https://docs.wto.org/imrd/directdoc.asp?DDFDocuments/t/G/TBTN22/BDI311A3.docx", "https://docs.wto.org/imrd/directdoc.asp?DDFDocuments/t/G/TBTN22/BDI311A3.docx")</f>
        <v>https://docs.wto.org/imrd/directdoc.asp?DDFDocuments/t/G/TBTN22/BDI311A3.docx</v>
      </c>
      <c r="S575" t="str">
        <f>HYPERLINK("https://docs.wto.org/imrd/directdoc.asp?DDFDocuments/u/G/TBTN22/BDI311A3.docx", "https://docs.wto.org/imrd/directdoc.asp?DDFDocuments/u/G/TBTN22/BDI311A3.docx")</f>
        <v>https://docs.wto.org/imrd/directdoc.asp?DDFDocuments/u/G/TBTN22/BDI311A3.docx</v>
      </c>
      <c r="T575" t="str">
        <f>HYPERLINK("https://docs.wto.org/imrd/directdoc.asp?DDFDocuments/v/G/TBTN22/BDI311A3.docx", "https://docs.wto.org/imrd/directdoc.asp?DDFDocuments/v/G/TBTN22/BDI311A3.docx")</f>
        <v>https://docs.wto.org/imrd/directdoc.asp?DDFDocuments/v/G/TBTN22/BDI311A3.docx</v>
      </c>
      <c r="U575" t="s">
        <v>64</v>
      </c>
      <c r="V575" t="s">
        <v>46</v>
      </c>
      <c r="W575" t="s">
        <v>46</v>
      </c>
      <c r="X575" t="s">
        <v>46</v>
      </c>
      <c r="Y575" t="s">
        <v>46</v>
      </c>
      <c r="Z575" t="s">
        <v>46</v>
      </c>
      <c r="AA575" t="s">
        <v>46</v>
      </c>
      <c r="AB575" s="2" t="s">
        <v>43</v>
      </c>
      <c r="AC575" t="s">
        <v>43</v>
      </c>
      <c r="AD575" t="s">
        <v>43</v>
      </c>
      <c r="AE575" t="s">
        <v>43</v>
      </c>
      <c r="AF575" t="s">
        <v>43</v>
      </c>
      <c r="AG575" t="s">
        <v>43</v>
      </c>
      <c r="AH575" s="2" t="s">
        <v>43</v>
      </c>
    </row>
    <row r="576" spans="1:34" ht="60">
      <c r="A576" s="6" t="s">
        <v>269</v>
      </c>
      <c r="B576" s="7">
        <v>46065</v>
      </c>
      <c r="C576" s="9" t="str">
        <f>HYPERLINK("https://eping.wto.org/en/Search?viewData= G/TBT/N/IDN/184"," G/TBT/N/IDN/184")</f>
        <v xml:space="preserve"> G/TBT/N/IDN/184</v>
      </c>
      <c r="D576" s="8" t="s">
        <v>2754</v>
      </c>
      <c r="E576" s="8" t="s">
        <v>2755</v>
      </c>
      <c r="F576" s="8" t="s">
        <v>1112</v>
      </c>
      <c r="G576" s="8" t="s">
        <v>43</v>
      </c>
      <c r="H576" s="8" t="s">
        <v>2756</v>
      </c>
      <c r="I576" s="8" t="s">
        <v>1114</v>
      </c>
      <c r="J576" s="8" t="s">
        <v>43</v>
      </c>
      <c r="K576" s="8" t="s">
        <v>43</v>
      </c>
      <c r="L576" s="6"/>
      <c r="M576" s="7">
        <v>46095</v>
      </c>
      <c r="N576" s="7" t="s">
        <v>79</v>
      </c>
      <c r="O576" s="7" t="s">
        <v>2757</v>
      </c>
      <c r="P576" s="6" t="s">
        <v>62</v>
      </c>
      <c r="Q576" s="8" t="s">
        <v>2758</v>
      </c>
      <c r="R576" t="str">
        <f>HYPERLINK("https://docs.wto.org/imrd/directdoc.asp?DDFDocuments/t/G/TBTN26/IDN184.docx", "https://docs.wto.org/imrd/directdoc.asp?DDFDocuments/t/G/TBTN26/IDN184.docx")</f>
        <v>https://docs.wto.org/imrd/directdoc.asp?DDFDocuments/t/G/TBTN26/IDN184.docx</v>
      </c>
      <c r="S576" t="str">
        <f>HYPERLINK("https://docs.wto.org/imrd/directdoc.asp?DDFDocuments/u/G/TBTN26/IDN184.docx", "https://docs.wto.org/imrd/directdoc.asp?DDFDocuments/u/G/TBTN26/IDN184.docx")</f>
        <v>https://docs.wto.org/imrd/directdoc.asp?DDFDocuments/u/G/TBTN26/IDN184.docx</v>
      </c>
      <c r="T576" t="str">
        <f>HYPERLINK("https://docs.wto.org/imrd/directdoc.asp?DDFDocuments/v/G/TBTN26/IDN184.docx", "https://docs.wto.org/imrd/directdoc.asp?DDFDocuments/v/G/TBTN26/IDN184.docx")</f>
        <v>https://docs.wto.org/imrd/directdoc.asp?DDFDocuments/v/G/TBTN26/IDN184.docx</v>
      </c>
      <c r="U576" t="s">
        <v>64</v>
      </c>
      <c r="V576" t="s">
        <v>46</v>
      </c>
      <c r="W576" t="s">
        <v>46</v>
      </c>
      <c r="X576" t="s">
        <v>46</v>
      </c>
      <c r="Y576" t="s">
        <v>46</v>
      </c>
      <c r="Z576" t="s">
        <v>46</v>
      </c>
      <c r="AA576" t="s">
        <v>46</v>
      </c>
      <c r="AB576" s="2" t="s">
        <v>2759</v>
      </c>
      <c r="AC576" t="s">
        <v>43</v>
      </c>
      <c r="AD576" t="s">
        <v>43</v>
      </c>
      <c r="AE576" t="s">
        <v>43</v>
      </c>
      <c r="AF576" t="s">
        <v>43</v>
      </c>
      <c r="AG576" t="s">
        <v>43</v>
      </c>
      <c r="AH576" s="2" t="s">
        <v>43</v>
      </c>
    </row>
    <row r="577" spans="1:34" ht="210">
      <c r="A577" s="6" t="s">
        <v>249</v>
      </c>
      <c r="B577" s="7">
        <v>46065</v>
      </c>
      <c r="C577" s="9" t="str">
        <f>HYPERLINK("https://eping.wto.org/en/Search?viewData= G/SPS/N/COL/383/Add.1"," G/SPS/N/COL/383/Add.1")</f>
        <v xml:space="preserve"> G/SPS/N/COL/383/Add.1</v>
      </c>
      <c r="D577" s="8" t="s">
        <v>2760</v>
      </c>
      <c r="E577" s="8" t="s">
        <v>2760</v>
      </c>
      <c r="F577" s="8" t="s">
        <v>2761</v>
      </c>
      <c r="G577" s="8" t="s">
        <v>940</v>
      </c>
      <c r="H577" s="8" t="s">
        <v>43</v>
      </c>
      <c r="I577" s="8" t="s">
        <v>254</v>
      </c>
      <c r="J577" s="8" t="s">
        <v>43</v>
      </c>
      <c r="K577" s="8" t="s">
        <v>2762</v>
      </c>
      <c r="L577" s="6"/>
      <c r="M577" s="7">
        <v>46125</v>
      </c>
      <c r="N577" s="7"/>
      <c r="O577" s="7"/>
      <c r="P577" s="6" t="s">
        <v>44</v>
      </c>
      <c r="Q577" s="8" t="s">
        <v>2763</v>
      </c>
      <c r="R577" t="str">
        <f>HYPERLINK("https://docs.wto.org/imrd/directdoc.asp?DDFDocuments/t/G/SPS/NCOL383A1.docx", "https://docs.wto.org/imrd/directdoc.asp?DDFDocuments/t/G/SPS/NCOL383A1.docx")</f>
        <v>https://docs.wto.org/imrd/directdoc.asp?DDFDocuments/t/G/SPS/NCOL383A1.docx</v>
      </c>
      <c r="S577" t="str">
        <f>HYPERLINK("https://docs.wto.org/imrd/directdoc.asp?DDFDocuments/u/G/SPS/NCOL383A1.docx", "https://docs.wto.org/imrd/directdoc.asp?DDFDocuments/u/G/SPS/NCOL383A1.docx")</f>
        <v>https://docs.wto.org/imrd/directdoc.asp?DDFDocuments/u/G/SPS/NCOL383A1.docx</v>
      </c>
      <c r="T577" t="str">
        <f>HYPERLINK("https://docs.wto.org/imrd/directdoc.asp?DDFDocuments/v/G/SPS/NCOL383A1.docx", "https://docs.wto.org/imrd/directdoc.asp?DDFDocuments/v/G/SPS/NCOL383A1.docx")</f>
        <v>https://docs.wto.org/imrd/directdoc.asp?DDFDocuments/v/G/SPS/NCOL383A1.docx</v>
      </c>
      <c r="U577" t="s">
        <v>43</v>
      </c>
      <c r="V577" t="s">
        <v>43</v>
      </c>
      <c r="W577" t="s">
        <v>43</v>
      </c>
      <c r="X577" t="s">
        <v>43</v>
      </c>
      <c r="Y577" t="s">
        <v>43</v>
      </c>
      <c r="Z577" t="s">
        <v>43</v>
      </c>
      <c r="AA577" t="s">
        <v>43</v>
      </c>
      <c r="AB577" s="2" t="s">
        <v>43</v>
      </c>
      <c r="AC577" t="s">
        <v>43</v>
      </c>
      <c r="AD577" t="s">
        <v>43</v>
      </c>
      <c r="AE577" t="s">
        <v>43</v>
      </c>
      <c r="AF577" t="s">
        <v>43</v>
      </c>
      <c r="AG577" t="s">
        <v>43</v>
      </c>
      <c r="AH577" s="2" t="s">
        <v>43</v>
      </c>
    </row>
    <row r="578" spans="1:34" ht="105">
      <c r="A578" s="6" t="s">
        <v>509</v>
      </c>
      <c r="B578" s="7">
        <v>46065</v>
      </c>
      <c r="C578" s="9" t="str">
        <f>HYPERLINK("https://eping.wto.org/en/Search?viewData= G/TBT/N/BDI/311/Add.3, G/TBT/N/KEN/1357/Add.3, G/TBT/N/RWA/752/Add.3, G/TBT/N/TZA/875/Add.3, G/TBT/N/UGA/1722/Add.3"," G/TBT/N/BDI/311/Add.3, G/TBT/N/KEN/1357/Add.3, G/TBT/N/RWA/752/Add.3, G/TBT/N/TZA/875/Add.3, G/TBT/N/UGA/1722/Add.3")</f>
        <v xml:space="preserve"> G/TBT/N/BDI/311/Add.3, G/TBT/N/KEN/1357/Add.3, G/TBT/N/RWA/752/Add.3, G/TBT/N/TZA/875/Add.3, G/TBT/N/UGA/1722/Add.3</v>
      </c>
      <c r="D578" s="8" t="s">
        <v>2748</v>
      </c>
      <c r="E578" s="8" t="s">
        <v>2749</v>
      </c>
      <c r="F578" s="8" t="s">
        <v>2750</v>
      </c>
      <c r="G578" s="8" t="s">
        <v>2751</v>
      </c>
      <c r="H578" s="8" t="s">
        <v>2752</v>
      </c>
      <c r="I578" s="8" t="s">
        <v>2764</v>
      </c>
      <c r="J578" s="8" t="s">
        <v>43</v>
      </c>
      <c r="K578" s="8" t="s">
        <v>1029</v>
      </c>
      <c r="L578" s="6"/>
      <c r="M578" s="7" t="s">
        <v>43</v>
      </c>
      <c r="N578" s="7"/>
      <c r="O578" s="7"/>
      <c r="P578" s="6" t="s">
        <v>44</v>
      </c>
      <c r="Q578" s="6"/>
      <c r="R578" t="str">
        <f>HYPERLINK("https://docs.wto.org/imrd/directdoc.asp?DDFDocuments/t/G/TBTN22/BDI311A3.docx", "https://docs.wto.org/imrd/directdoc.asp?DDFDocuments/t/G/TBTN22/BDI311A3.docx")</f>
        <v>https://docs.wto.org/imrd/directdoc.asp?DDFDocuments/t/G/TBTN22/BDI311A3.docx</v>
      </c>
      <c r="S578" t="str">
        <f>HYPERLINK("https://docs.wto.org/imrd/directdoc.asp?DDFDocuments/u/G/TBTN22/BDI311A3.docx", "https://docs.wto.org/imrd/directdoc.asp?DDFDocuments/u/G/TBTN22/BDI311A3.docx")</f>
        <v>https://docs.wto.org/imrd/directdoc.asp?DDFDocuments/u/G/TBTN22/BDI311A3.docx</v>
      </c>
      <c r="T578" t="str">
        <f>HYPERLINK("https://docs.wto.org/imrd/directdoc.asp?DDFDocuments/v/G/TBTN22/BDI311A3.docx", "https://docs.wto.org/imrd/directdoc.asp?DDFDocuments/v/G/TBTN22/BDI311A3.docx")</f>
        <v>https://docs.wto.org/imrd/directdoc.asp?DDFDocuments/v/G/TBTN22/BDI311A3.docx</v>
      </c>
      <c r="U578" t="s">
        <v>64</v>
      </c>
      <c r="V578" t="s">
        <v>46</v>
      </c>
      <c r="W578" t="s">
        <v>46</v>
      </c>
      <c r="X578" t="s">
        <v>46</v>
      </c>
      <c r="Y578" t="s">
        <v>46</v>
      </c>
      <c r="Z578" t="s">
        <v>46</v>
      </c>
      <c r="AA578" t="s">
        <v>46</v>
      </c>
      <c r="AB578" s="2" t="s">
        <v>43</v>
      </c>
      <c r="AC578" t="s">
        <v>43</v>
      </c>
      <c r="AD578" t="s">
        <v>43</v>
      </c>
      <c r="AE578" t="s">
        <v>43</v>
      </c>
      <c r="AF578" t="s">
        <v>43</v>
      </c>
      <c r="AG578" t="s">
        <v>43</v>
      </c>
      <c r="AH578" s="2" t="s">
        <v>43</v>
      </c>
    </row>
    <row r="579" spans="1:34" ht="75">
      <c r="A579" s="6" t="s">
        <v>2569</v>
      </c>
      <c r="B579" s="7">
        <v>46065</v>
      </c>
      <c r="C579" s="9" t="str">
        <f>HYPERLINK("https://eping.wto.org/en/Search?viewData= G/TBT/N/JOR/88"," G/TBT/N/JOR/88")</f>
        <v xml:space="preserve"> G/TBT/N/JOR/88</v>
      </c>
      <c r="D579" s="8" t="s">
        <v>2765</v>
      </c>
      <c r="E579" s="8" t="s">
        <v>2766</v>
      </c>
      <c r="F579" s="8" t="s">
        <v>2572</v>
      </c>
      <c r="G579" s="8" t="s">
        <v>43</v>
      </c>
      <c r="H579" s="8" t="s">
        <v>1985</v>
      </c>
      <c r="I579" s="8" t="s">
        <v>2050</v>
      </c>
      <c r="J579" s="8" t="s">
        <v>43</v>
      </c>
      <c r="K579" s="8" t="s">
        <v>240</v>
      </c>
      <c r="L579" s="6"/>
      <c r="M579" s="7">
        <v>46125</v>
      </c>
      <c r="N579" s="7">
        <v>46096</v>
      </c>
      <c r="O579" s="7">
        <v>46157</v>
      </c>
      <c r="P579" s="6" t="s">
        <v>62</v>
      </c>
      <c r="Q579" s="8" t="s">
        <v>2767</v>
      </c>
      <c r="R579" t="str">
        <f>HYPERLINK("https://docs.wto.org/imrd/directdoc.asp?DDFDocuments/t/G/TBTN26/JOR88.docx", "https://docs.wto.org/imrd/directdoc.asp?DDFDocuments/t/G/TBTN26/JOR88.docx")</f>
        <v>https://docs.wto.org/imrd/directdoc.asp?DDFDocuments/t/G/TBTN26/JOR88.docx</v>
      </c>
      <c r="S579" t="str">
        <f>HYPERLINK("https://docs.wto.org/imrd/directdoc.asp?DDFDocuments/u/G/TBTN26/JOR88.docx", "https://docs.wto.org/imrd/directdoc.asp?DDFDocuments/u/G/TBTN26/JOR88.docx")</f>
        <v>https://docs.wto.org/imrd/directdoc.asp?DDFDocuments/u/G/TBTN26/JOR88.docx</v>
      </c>
      <c r="T579" t="str">
        <f>HYPERLINK("https://docs.wto.org/imrd/directdoc.asp?DDFDocuments/v/G/TBTN26/JOR88.docx", "https://docs.wto.org/imrd/directdoc.asp?DDFDocuments/v/G/TBTN26/JOR88.docx")</f>
        <v>https://docs.wto.org/imrd/directdoc.asp?DDFDocuments/v/G/TBTN26/JOR88.docx</v>
      </c>
      <c r="U579" t="s">
        <v>64</v>
      </c>
      <c r="V579" t="s">
        <v>46</v>
      </c>
      <c r="W579" t="s">
        <v>46</v>
      </c>
      <c r="X579" t="s">
        <v>46</v>
      </c>
      <c r="Y579" t="s">
        <v>46</v>
      </c>
      <c r="Z579" t="s">
        <v>46</v>
      </c>
      <c r="AA579" t="s">
        <v>46</v>
      </c>
      <c r="AB579" s="2" t="s">
        <v>2768</v>
      </c>
      <c r="AC579" t="s">
        <v>43</v>
      </c>
      <c r="AD579" t="s">
        <v>43</v>
      </c>
      <c r="AE579" t="s">
        <v>43</v>
      </c>
      <c r="AF579" t="s">
        <v>43</v>
      </c>
      <c r="AG579" t="s">
        <v>43</v>
      </c>
      <c r="AH579" s="2" t="s">
        <v>43</v>
      </c>
    </row>
    <row r="580" spans="1:34" ht="90">
      <c r="A580" s="6" t="s">
        <v>96</v>
      </c>
      <c r="B580" s="7">
        <v>46065</v>
      </c>
      <c r="C580" s="9" t="str">
        <f>HYPERLINK("https://eping.wto.org/en/Search?viewData= G/TBT/N/ISR/1302/Add.1"," G/TBT/N/ISR/1302/Add.1")</f>
        <v xml:space="preserve"> G/TBT/N/ISR/1302/Add.1</v>
      </c>
      <c r="D580" s="8" t="s">
        <v>2769</v>
      </c>
      <c r="E580" s="8" t="s">
        <v>43</v>
      </c>
      <c r="F580" s="8" t="s">
        <v>2770</v>
      </c>
      <c r="G580" s="8" t="s">
        <v>2771</v>
      </c>
      <c r="H580" s="8" t="s">
        <v>2772</v>
      </c>
      <c r="I580" s="8" t="s">
        <v>275</v>
      </c>
      <c r="J580" s="8" t="s">
        <v>43</v>
      </c>
      <c r="K580" s="8" t="s">
        <v>43</v>
      </c>
      <c r="L580" s="6"/>
      <c r="M580" s="7" t="s">
        <v>43</v>
      </c>
      <c r="N580" s="7"/>
      <c r="O580" s="7"/>
      <c r="P580" s="6" t="s">
        <v>44</v>
      </c>
      <c r="Q580" s="8" t="s">
        <v>2773</v>
      </c>
      <c r="R580" t="str">
        <f>HYPERLINK("https://docs.wto.org/imrd/directdoc.asp?DDFDocuments/t/G/TBTN24/ISR1302A1.docx", "https://docs.wto.org/imrd/directdoc.asp?DDFDocuments/t/G/TBTN24/ISR1302A1.docx")</f>
        <v>https://docs.wto.org/imrd/directdoc.asp?DDFDocuments/t/G/TBTN24/ISR1302A1.docx</v>
      </c>
      <c r="S580" t="str">
        <f>HYPERLINK("https://docs.wto.org/imrd/directdoc.asp?DDFDocuments/u/G/TBTN24/ISR1302A1.docx", "https://docs.wto.org/imrd/directdoc.asp?DDFDocuments/u/G/TBTN24/ISR1302A1.docx")</f>
        <v>https://docs.wto.org/imrd/directdoc.asp?DDFDocuments/u/G/TBTN24/ISR1302A1.docx</v>
      </c>
      <c r="T580" t="str">
        <f>HYPERLINK("https://docs.wto.org/imrd/directdoc.asp?DDFDocuments/v/G/TBTN24/ISR1302A1.docx", "https://docs.wto.org/imrd/directdoc.asp?DDFDocuments/v/G/TBTN24/ISR1302A1.docx")</f>
        <v>https://docs.wto.org/imrd/directdoc.asp?DDFDocuments/v/G/TBTN24/ISR1302A1.docx</v>
      </c>
      <c r="U580" t="s">
        <v>64</v>
      </c>
      <c r="V580" t="s">
        <v>46</v>
      </c>
      <c r="W580" t="s">
        <v>46</v>
      </c>
      <c r="X580" t="s">
        <v>46</v>
      </c>
      <c r="Y580" t="s">
        <v>46</v>
      </c>
      <c r="Z580" t="s">
        <v>46</v>
      </c>
      <c r="AA580" t="s">
        <v>46</v>
      </c>
      <c r="AB580" s="2" t="s">
        <v>43</v>
      </c>
      <c r="AC580" t="s">
        <v>43</v>
      </c>
      <c r="AD580" t="s">
        <v>43</v>
      </c>
      <c r="AE580" t="s">
        <v>43</v>
      </c>
      <c r="AF580" t="s">
        <v>43</v>
      </c>
      <c r="AG580" t="s">
        <v>43</v>
      </c>
      <c r="AH580" s="2" t="s">
        <v>43</v>
      </c>
    </row>
    <row r="581" spans="1:34" ht="165">
      <c r="A581" s="6" t="s">
        <v>132</v>
      </c>
      <c r="B581" s="7">
        <v>46065</v>
      </c>
      <c r="C581" s="9" t="str">
        <f>HYPERLINK("https://eping.wto.org/en/Search?viewData= G/TBT/N/USA/827/Rev.5"," G/TBT/N/USA/827/Rev.5")</f>
        <v xml:space="preserve"> G/TBT/N/USA/827/Rev.5</v>
      </c>
      <c r="D581" s="8" t="s">
        <v>2774</v>
      </c>
      <c r="E581" s="8" t="s">
        <v>2775</v>
      </c>
      <c r="F581" s="8" t="s">
        <v>2776</v>
      </c>
      <c r="G581" s="8" t="s">
        <v>43</v>
      </c>
      <c r="H581" s="8" t="s">
        <v>2777</v>
      </c>
      <c r="I581" s="8" t="s">
        <v>1028</v>
      </c>
      <c r="J581" s="8" t="s">
        <v>43</v>
      </c>
      <c r="K581" s="8" t="s">
        <v>43</v>
      </c>
      <c r="L581" s="6"/>
      <c r="M581" s="7">
        <v>46094</v>
      </c>
      <c r="N581" s="7" t="s">
        <v>79</v>
      </c>
      <c r="O581" s="7" t="s">
        <v>79</v>
      </c>
      <c r="P581" s="6" t="s">
        <v>138</v>
      </c>
      <c r="Q581" s="8" t="s">
        <v>2778</v>
      </c>
      <c r="R581" t="str">
        <f>HYPERLINK("https://docs.wto.org/imrd/directdoc.asp?DDFDocuments/t/G/TBTN13/USA827R5.docx", "https://docs.wto.org/imrd/directdoc.asp?DDFDocuments/t/G/TBTN13/USA827R5.docx")</f>
        <v>https://docs.wto.org/imrd/directdoc.asp?DDFDocuments/t/G/TBTN13/USA827R5.docx</v>
      </c>
      <c r="S581" t="str">
        <f>HYPERLINK("https://docs.wto.org/imrd/directdoc.asp?DDFDocuments/u/G/TBTN13/USA827R5.docx", "https://docs.wto.org/imrd/directdoc.asp?DDFDocuments/u/G/TBTN13/USA827R5.docx")</f>
        <v>https://docs.wto.org/imrd/directdoc.asp?DDFDocuments/u/G/TBTN13/USA827R5.docx</v>
      </c>
      <c r="T581" t="str">
        <f>HYPERLINK("https://docs.wto.org/imrd/directdoc.asp?DDFDocuments/v/G/TBTN13/USA827R5.docx", "https://docs.wto.org/imrd/directdoc.asp?DDFDocuments/v/G/TBTN13/USA827R5.docx")</f>
        <v>https://docs.wto.org/imrd/directdoc.asp?DDFDocuments/v/G/TBTN13/USA827R5.docx</v>
      </c>
      <c r="U581" t="s">
        <v>64</v>
      </c>
      <c r="V581" t="s">
        <v>46</v>
      </c>
      <c r="W581" t="s">
        <v>64</v>
      </c>
      <c r="X581" t="s">
        <v>46</v>
      </c>
      <c r="Y581" t="s">
        <v>46</v>
      </c>
      <c r="Z581" t="s">
        <v>46</v>
      </c>
      <c r="AA581" t="s">
        <v>46</v>
      </c>
      <c r="AB581" s="2" t="s">
        <v>2779</v>
      </c>
      <c r="AC581" t="s">
        <v>43</v>
      </c>
      <c r="AD581" t="s">
        <v>43</v>
      </c>
      <c r="AE581" t="s">
        <v>43</v>
      </c>
      <c r="AF581" t="s">
        <v>43</v>
      </c>
      <c r="AG581" t="s">
        <v>43</v>
      </c>
      <c r="AH581" s="2" t="s">
        <v>43</v>
      </c>
    </row>
    <row r="582" spans="1:34" ht="105">
      <c r="A582" s="6" t="s">
        <v>577</v>
      </c>
      <c r="B582" s="7">
        <v>46065</v>
      </c>
      <c r="C582" s="9" t="str">
        <f>HYPERLINK("https://eping.wto.org/en/Search?viewData= G/TBT/N/BDI/311/Add.3, G/TBT/N/KEN/1357/Add.3, G/TBT/N/RWA/752/Add.3, G/TBT/N/TZA/875/Add.3, G/TBT/N/UGA/1722/Add.3"," G/TBT/N/BDI/311/Add.3, G/TBT/N/KEN/1357/Add.3, G/TBT/N/RWA/752/Add.3, G/TBT/N/TZA/875/Add.3, G/TBT/N/UGA/1722/Add.3")</f>
        <v xml:space="preserve"> G/TBT/N/BDI/311/Add.3, G/TBT/N/KEN/1357/Add.3, G/TBT/N/RWA/752/Add.3, G/TBT/N/TZA/875/Add.3, G/TBT/N/UGA/1722/Add.3</v>
      </c>
      <c r="D582" s="8" t="s">
        <v>2748</v>
      </c>
      <c r="E582" s="8" t="s">
        <v>2749</v>
      </c>
      <c r="F582" s="8" t="s">
        <v>2750</v>
      </c>
      <c r="G582" s="8" t="s">
        <v>2751</v>
      </c>
      <c r="H582" s="8" t="s">
        <v>2752</v>
      </c>
      <c r="I582" s="8" t="s">
        <v>2764</v>
      </c>
      <c r="J582" s="8" t="s">
        <v>43</v>
      </c>
      <c r="K582" s="8" t="s">
        <v>1029</v>
      </c>
      <c r="L582" s="6"/>
      <c r="M582" s="7" t="s">
        <v>43</v>
      </c>
      <c r="N582" s="7"/>
      <c r="O582" s="7"/>
      <c r="P582" s="6" t="s">
        <v>44</v>
      </c>
      <c r="Q582" s="6"/>
      <c r="R582" t="str">
        <f>HYPERLINK("https://docs.wto.org/imrd/directdoc.asp?DDFDocuments/t/G/TBTN22/BDI311A3.docx", "https://docs.wto.org/imrd/directdoc.asp?DDFDocuments/t/G/TBTN22/BDI311A3.docx")</f>
        <v>https://docs.wto.org/imrd/directdoc.asp?DDFDocuments/t/G/TBTN22/BDI311A3.docx</v>
      </c>
      <c r="S582" t="str">
        <f>HYPERLINK("https://docs.wto.org/imrd/directdoc.asp?DDFDocuments/u/G/TBTN22/BDI311A3.docx", "https://docs.wto.org/imrd/directdoc.asp?DDFDocuments/u/G/TBTN22/BDI311A3.docx")</f>
        <v>https://docs.wto.org/imrd/directdoc.asp?DDFDocuments/u/G/TBTN22/BDI311A3.docx</v>
      </c>
      <c r="T582" t="str">
        <f>HYPERLINK("https://docs.wto.org/imrd/directdoc.asp?DDFDocuments/v/G/TBTN22/BDI311A3.docx", "https://docs.wto.org/imrd/directdoc.asp?DDFDocuments/v/G/TBTN22/BDI311A3.docx")</f>
        <v>https://docs.wto.org/imrd/directdoc.asp?DDFDocuments/v/G/TBTN22/BDI311A3.docx</v>
      </c>
      <c r="U582" t="s">
        <v>64</v>
      </c>
      <c r="V582" t="s">
        <v>46</v>
      </c>
      <c r="W582" t="s">
        <v>46</v>
      </c>
      <c r="X582" t="s">
        <v>46</v>
      </c>
      <c r="Y582" t="s">
        <v>46</v>
      </c>
      <c r="Z582" t="s">
        <v>46</v>
      </c>
      <c r="AA582" t="s">
        <v>46</v>
      </c>
      <c r="AB582" s="2" t="s">
        <v>43</v>
      </c>
      <c r="AC582" t="s">
        <v>43</v>
      </c>
      <c r="AD582" t="s">
        <v>43</v>
      </c>
      <c r="AE582" t="s">
        <v>43</v>
      </c>
      <c r="AF582" t="s">
        <v>43</v>
      </c>
      <c r="AG582" t="s">
        <v>43</v>
      </c>
      <c r="AH582" s="2" t="s">
        <v>43</v>
      </c>
    </row>
    <row r="583" spans="1:34" ht="105">
      <c r="A583" s="6" t="s">
        <v>108</v>
      </c>
      <c r="B583" s="7">
        <v>46065</v>
      </c>
      <c r="C583" s="9" t="str">
        <f>HYPERLINK("https://eping.wto.org/en/Search?viewData= G/TBT/N/BDI/311/Add.3, G/TBT/N/KEN/1357/Add.3, G/TBT/N/RWA/752/Add.3, G/TBT/N/TZA/875/Add.3, G/TBT/N/UGA/1722/Add.3"," G/TBT/N/BDI/311/Add.3, G/TBT/N/KEN/1357/Add.3, G/TBT/N/RWA/752/Add.3, G/TBT/N/TZA/875/Add.3, G/TBT/N/UGA/1722/Add.3")</f>
        <v xml:space="preserve"> G/TBT/N/BDI/311/Add.3, G/TBT/N/KEN/1357/Add.3, G/TBT/N/RWA/752/Add.3, G/TBT/N/TZA/875/Add.3, G/TBT/N/UGA/1722/Add.3</v>
      </c>
      <c r="D583" s="8" t="s">
        <v>2748</v>
      </c>
      <c r="E583" s="8" t="s">
        <v>2749</v>
      </c>
      <c r="F583" s="8" t="s">
        <v>2750</v>
      </c>
      <c r="G583" s="8" t="s">
        <v>2751</v>
      </c>
      <c r="H583" s="8" t="s">
        <v>2752</v>
      </c>
      <c r="I583" s="8" t="s">
        <v>2764</v>
      </c>
      <c r="J583" s="8" t="s">
        <v>43</v>
      </c>
      <c r="K583" s="8" t="s">
        <v>1029</v>
      </c>
      <c r="L583" s="6"/>
      <c r="M583" s="7" t="s">
        <v>43</v>
      </c>
      <c r="N583" s="7"/>
      <c r="O583" s="7"/>
      <c r="P583" s="6" t="s">
        <v>44</v>
      </c>
      <c r="Q583" s="6"/>
      <c r="R583" t="str">
        <f>HYPERLINK("https://docs.wto.org/imrd/directdoc.asp?DDFDocuments/t/G/TBTN22/BDI311A3.docx", "https://docs.wto.org/imrd/directdoc.asp?DDFDocuments/t/G/TBTN22/BDI311A3.docx")</f>
        <v>https://docs.wto.org/imrd/directdoc.asp?DDFDocuments/t/G/TBTN22/BDI311A3.docx</v>
      </c>
      <c r="S583" t="str">
        <f>HYPERLINK("https://docs.wto.org/imrd/directdoc.asp?DDFDocuments/u/G/TBTN22/BDI311A3.docx", "https://docs.wto.org/imrd/directdoc.asp?DDFDocuments/u/G/TBTN22/BDI311A3.docx")</f>
        <v>https://docs.wto.org/imrd/directdoc.asp?DDFDocuments/u/G/TBTN22/BDI311A3.docx</v>
      </c>
      <c r="T583" t="str">
        <f>HYPERLINK("https://docs.wto.org/imrd/directdoc.asp?DDFDocuments/v/G/TBTN22/BDI311A3.docx", "https://docs.wto.org/imrd/directdoc.asp?DDFDocuments/v/G/TBTN22/BDI311A3.docx")</f>
        <v>https://docs.wto.org/imrd/directdoc.asp?DDFDocuments/v/G/TBTN22/BDI311A3.docx</v>
      </c>
      <c r="U583" t="s">
        <v>64</v>
      </c>
      <c r="V583" t="s">
        <v>46</v>
      </c>
      <c r="W583" t="s">
        <v>46</v>
      </c>
      <c r="X583" t="s">
        <v>46</v>
      </c>
      <c r="Y583" t="s">
        <v>46</v>
      </c>
      <c r="Z583" t="s">
        <v>46</v>
      </c>
      <c r="AA583" t="s">
        <v>46</v>
      </c>
      <c r="AB583" s="2" t="s">
        <v>43</v>
      </c>
      <c r="AC583" t="s">
        <v>43</v>
      </c>
      <c r="AD583" t="s">
        <v>43</v>
      </c>
      <c r="AE583" t="s">
        <v>43</v>
      </c>
      <c r="AF583" t="s">
        <v>43</v>
      </c>
      <c r="AG583" t="s">
        <v>43</v>
      </c>
      <c r="AH583" s="2" t="s">
        <v>43</v>
      </c>
    </row>
    <row r="584" spans="1:34" ht="30">
      <c r="A584" s="6" t="s">
        <v>2569</v>
      </c>
      <c r="B584" s="7">
        <v>46065</v>
      </c>
      <c r="C584" s="9" t="str">
        <f>HYPERLINK("https://eping.wto.org/en/Search?viewData= G/TBT/N/JOR/90"," G/TBT/N/JOR/90")</f>
        <v xml:space="preserve"> G/TBT/N/JOR/90</v>
      </c>
      <c r="D584" s="8" t="s">
        <v>2780</v>
      </c>
      <c r="E584" s="8" t="s">
        <v>2781</v>
      </c>
      <c r="F584" s="8" t="s">
        <v>2572</v>
      </c>
      <c r="G584" s="8" t="s">
        <v>43</v>
      </c>
      <c r="H584" s="8" t="s">
        <v>1985</v>
      </c>
      <c r="I584" s="8" t="s">
        <v>2050</v>
      </c>
      <c r="J584" s="8" t="s">
        <v>43</v>
      </c>
      <c r="K584" s="8" t="s">
        <v>240</v>
      </c>
      <c r="L584" s="6"/>
      <c r="M584" s="7">
        <v>46125</v>
      </c>
      <c r="N584" s="7">
        <v>46096</v>
      </c>
      <c r="O584" s="7">
        <v>46157</v>
      </c>
      <c r="P584" s="6" t="s">
        <v>62</v>
      </c>
      <c r="Q584" s="8" t="s">
        <v>2782</v>
      </c>
      <c r="R584" t="str">
        <f>HYPERLINK("https://docs.wto.org/imrd/directdoc.asp?DDFDocuments/t/G/TBTN26/JOR90.docx", "https://docs.wto.org/imrd/directdoc.asp?DDFDocuments/t/G/TBTN26/JOR90.docx")</f>
        <v>https://docs.wto.org/imrd/directdoc.asp?DDFDocuments/t/G/TBTN26/JOR90.docx</v>
      </c>
      <c r="S584" t="str">
        <f>HYPERLINK("https://docs.wto.org/imrd/directdoc.asp?DDFDocuments/u/G/TBTN26/JOR90.docx", "https://docs.wto.org/imrd/directdoc.asp?DDFDocuments/u/G/TBTN26/JOR90.docx")</f>
        <v>https://docs.wto.org/imrd/directdoc.asp?DDFDocuments/u/G/TBTN26/JOR90.docx</v>
      </c>
      <c r="T584" t="str">
        <f>HYPERLINK("https://docs.wto.org/imrd/directdoc.asp?DDFDocuments/v/G/TBTN26/JOR90.docx", "https://docs.wto.org/imrd/directdoc.asp?DDFDocuments/v/G/TBTN26/JOR90.docx")</f>
        <v>https://docs.wto.org/imrd/directdoc.asp?DDFDocuments/v/G/TBTN26/JOR90.docx</v>
      </c>
      <c r="U584" t="s">
        <v>64</v>
      </c>
      <c r="V584" t="s">
        <v>46</v>
      </c>
      <c r="W584" t="s">
        <v>46</v>
      </c>
      <c r="X584" t="s">
        <v>46</v>
      </c>
      <c r="Y584" t="s">
        <v>46</v>
      </c>
      <c r="Z584" t="s">
        <v>46</v>
      </c>
      <c r="AA584" t="s">
        <v>46</v>
      </c>
      <c r="AB584" s="2" t="s">
        <v>2783</v>
      </c>
      <c r="AC584" t="s">
        <v>43</v>
      </c>
      <c r="AD584" t="s">
        <v>43</v>
      </c>
      <c r="AE584" t="s">
        <v>43</v>
      </c>
      <c r="AF584" t="s">
        <v>43</v>
      </c>
      <c r="AG584" t="s">
        <v>43</v>
      </c>
      <c r="AH584" s="2" t="s">
        <v>43</v>
      </c>
    </row>
    <row r="585" spans="1:34" ht="60">
      <c r="A585" s="6" t="s">
        <v>89</v>
      </c>
      <c r="B585" s="7">
        <v>46065</v>
      </c>
      <c r="C585" s="9" t="str">
        <f>HYPERLINK("https://eping.wto.org/en/Search?viewData= G/TBT/N/CRI/210"," G/TBT/N/CRI/210")</f>
        <v xml:space="preserve"> G/TBT/N/CRI/210</v>
      </c>
      <c r="D585" s="8" t="s">
        <v>2784</v>
      </c>
      <c r="E585" s="8" t="s">
        <v>2785</v>
      </c>
      <c r="F585" s="8" t="s">
        <v>2786</v>
      </c>
      <c r="G585" s="8" t="s">
        <v>1381</v>
      </c>
      <c r="H585" s="8" t="s">
        <v>442</v>
      </c>
      <c r="I585" s="8" t="s">
        <v>137</v>
      </c>
      <c r="J585" s="8" t="s">
        <v>43</v>
      </c>
      <c r="K585" s="8" t="s">
        <v>350</v>
      </c>
      <c r="L585" s="6"/>
      <c r="M585" s="7">
        <v>46125</v>
      </c>
      <c r="N585" s="7" t="s">
        <v>2787</v>
      </c>
      <c r="O585" s="7" t="s">
        <v>114</v>
      </c>
      <c r="P585" s="6" t="s">
        <v>62</v>
      </c>
      <c r="Q585" s="8" t="s">
        <v>2788</v>
      </c>
      <c r="R585" t="str">
        <f>HYPERLINK("https://docs.wto.org/imrd/directdoc.asp?DDFDocuments/t/G/TBTN26/CRI210.docx", "https://docs.wto.org/imrd/directdoc.asp?DDFDocuments/t/G/TBTN26/CRI210.docx")</f>
        <v>https://docs.wto.org/imrd/directdoc.asp?DDFDocuments/t/G/TBTN26/CRI210.docx</v>
      </c>
      <c r="S585" t="str">
        <f>HYPERLINK("https://docs.wto.org/imrd/directdoc.asp?DDFDocuments/u/G/TBTN26/CRI210.docx", "https://docs.wto.org/imrd/directdoc.asp?DDFDocuments/u/G/TBTN26/CRI210.docx")</f>
        <v>https://docs.wto.org/imrd/directdoc.asp?DDFDocuments/u/G/TBTN26/CRI210.docx</v>
      </c>
      <c r="T585" t="str">
        <f>HYPERLINK("https://docs.wto.org/imrd/directdoc.asp?DDFDocuments/v/G/TBTN26/CRI210.docx", "https://docs.wto.org/imrd/directdoc.asp?DDFDocuments/v/G/TBTN26/CRI210.docx")</f>
        <v>https://docs.wto.org/imrd/directdoc.asp?DDFDocuments/v/G/TBTN26/CRI210.docx</v>
      </c>
      <c r="U585" t="s">
        <v>64</v>
      </c>
      <c r="V585" t="s">
        <v>46</v>
      </c>
      <c r="W585" t="s">
        <v>46</v>
      </c>
      <c r="X585" t="s">
        <v>46</v>
      </c>
      <c r="Y585" t="s">
        <v>46</v>
      </c>
      <c r="Z585" t="s">
        <v>46</v>
      </c>
      <c r="AA585" t="s">
        <v>46</v>
      </c>
      <c r="AB585" s="2" t="s">
        <v>99</v>
      </c>
      <c r="AC585" t="s">
        <v>43</v>
      </c>
      <c r="AD585" t="s">
        <v>43</v>
      </c>
      <c r="AE585" t="s">
        <v>43</v>
      </c>
      <c r="AF585" t="s">
        <v>43</v>
      </c>
      <c r="AG585" t="s">
        <v>43</v>
      </c>
      <c r="AH585" s="2" t="s">
        <v>43</v>
      </c>
    </row>
    <row r="586" spans="1:34" ht="105">
      <c r="A586" s="6" t="s">
        <v>124</v>
      </c>
      <c r="B586" s="7">
        <v>46065</v>
      </c>
      <c r="C586" s="9" t="str">
        <f>HYPERLINK("https://eping.wto.org/en/Search?viewData= G/TBT/N/BDI/311/Add.3, G/TBT/N/KEN/1357/Add.3, G/TBT/N/RWA/752/Add.3, G/TBT/N/TZA/875/Add.3, G/TBT/N/UGA/1722/Add.3"," G/TBT/N/BDI/311/Add.3, G/TBT/N/KEN/1357/Add.3, G/TBT/N/RWA/752/Add.3, G/TBT/N/TZA/875/Add.3, G/TBT/N/UGA/1722/Add.3")</f>
        <v xml:space="preserve"> G/TBT/N/BDI/311/Add.3, G/TBT/N/KEN/1357/Add.3, G/TBT/N/RWA/752/Add.3, G/TBT/N/TZA/875/Add.3, G/TBT/N/UGA/1722/Add.3</v>
      </c>
      <c r="D586" s="8" t="s">
        <v>2748</v>
      </c>
      <c r="E586" s="8" t="s">
        <v>2749</v>
      </c>
      <c r="F586" s="8" t="s">
        <v>2750</v>
      </c>
      <c r="G586" s="8" t="s">
        <v>2751</v>
      </c>
      <c r="H586" s="8" t="s">
        <v>2752</v>
      </c>
      <c r="I586" s="8" t="s">
        <v>2764</v>
      </c>
      <c r="J586" s="8" t="s">
        <v>43</v>
      </c>
      <c r="K586" s="8" t="s">
        <v>1029</v>
      </c>
      <c r="L586" s="6"/>
      <c r="M586" s="7" t="s">
        <v>43</v>
      </c>
      <c r="N586" s="7"/>
      <c r="O586" s="7"/>
      <c r="P586" s="6" t="s">
        <v>44</v>
      </c>
      <c r="Q586" s="6"/>
      <c r="R586" t="str">
        <f>HYPERLINK("https://docs.wto.org/imrd/directdoc.asp?DDFDocuments/t/G/TBTN22/BDI311A3.docx", "https://docs.wto.org/imrd/directdoc.asp?DDFDocuments/t/G/TBTN22/BDI311A3.docx")</f>
        <v>https://docs.wto.org/imrd/directdoc.asp?DDFDocuments/t/G/TBTN22/BDI311A3.docx</v>
      </c>
      <c r="S586" t="str">
        <f>HYPERLINK("https://docs.wto.org/imrd/directdoc.asp?DDFDocuments/u/G/TBTN22/BDI311A3.docx", "https://docs.wto.org/imrd/directdoc.asp?DDFDocuments/u/G/TBTN22/BDI311A3.docx")</f>
        <v>https://docs.wto.org/imrd/directdoc.asp?DDFDocuments/u/G/TBTN22/BDI311A3.docx</v>
      </c>
      <c r="T586" t="str">
        <f>HYPERLINK("https://docs.wto.org/imrd/directdoc.asp?DDFDocuments/v/G/TBTN22/BDI311A3.docx", "https://docs.wto.org/imrd/directdoc.asp?DDFDocuments/v/G/TBTN22/BDI311A3.docx")</f>
        <v>https://docs.wto.org/imrd/directdoc.asp?DDFDocuments/v/G/TBTN22/BDI311A3.docx</v>
      </c>
      <c r="U586" t="s">
        <v>64</v>
      </c>
      <c r="V586" t="s">
        <v>46</v>
      </c>
      <c r="W586" t="s">
        <v>46</v>
      </c>
      <c r="X586" t="s">
        <v>46</v>
      </c>
      <c r="Y586" t="s">
        <v>46</v>
      </c>
      <c r="Z586" t="s">
        <v>46</v>
      </c>
      <c r="AA586" t="s">
        <v>46</v>
      </c>
      <c r="AB586" s="2" t="s">
        <v>43</v>
      </c>
      <c r="AC586" t="s">
        <v>43</v>
      </c>
      <c r="AD586" t="s">
        <v>43</v>
      </c>
      <c r="AE586" t="s">
        <v>43</v>
      </c>
      <c r="AF586" t="s">
        <v>43</v>
      </c>
      <c r="AG586" t="s">
        <v>43</v>
      </c>
      <c r="AH586" s="2" t="s">
        <v>43</v>
      </c>
    </row>
    <row r="587" spans="1:34" ht="75">
      <c r="A587" s="6" t="s">
        <v>47</v>
      </c>
      <c r="B587" s="7">
        <v>46065</v>
      </c>
      <c r="C587" s="9" t="str">
        <f>HYPERLINK("https://eping.wto.org/en/Search?viewData= G/TBT/N/CAN/771"," G/TBT/N/CAN/771")</f>
        <v xml:space="preserve"> G/TBT/N/CAN/771</v>
      </c>
      <c r="D587" s="8" t="s">
        <v>2789</v>
      </c>
      <c r="E587" s="8" t="s">
        <v>2790</v>
      </c>
      <c r="F587" s="8" t="s">
        <v>2791</v>
      </c>
      <c r="G587" s="8" t="s">
        <v>2792</v>
      </c>
      <c r="H587" s="8" t="s">
        <v>1427</v>
      </c>
      <c r="I587" s="8" t="s">
        <v>52</v>
      </c>
      <c r="J587" s="8" t="s">
        <v>2793</v>
      </c>
      <c r="K587" s="8" t="s">
        <v>350</v>
      </c>
      <c r="L587" s="6"/>
      <c r="M587" s="7">
        <v>46130</v>
      </c>
      <c r="N587" s="7" t="s">
        <v>79</v>
      </c>
      <c r="O587" s="7" t="s">
        <v>79</v>
      </c>
      <c r="P587" s="6" t="s">
        <v>62</v>
      </c>
      <c r="Q587" s="8" t="s">
        <v>2794</v>
      </c>
      <c r="R587" t="str">
        <f>HYPERLINK("https://docs.wto.org/imrd/directdoc.asp?DDFDocuments/t/G/TBTN26/CAN771.docx", "https://docs.wto.org/imrd/directdoc.asp?DDFDocuments/t/G/TBTN26/CAN771.docx")</f>
        <v>https://docs.wto.org/imrd/directdoc.asp?DDFDocuments/t/G/TBTN26/CAN771.docx</v>
      </c>
      <c r="S587" t="str">
        <f>HYPERLINK("https://docs.wto.org/imrd/directdoc.asp?DDFDocuments/u/G/TBTN26/CAN771.docx", "https://docs.wto.org/imrd/directdoc.asp?DDFDocuments/u/G/TBTN26/CAN771.docx")</f>
        <v>https://docs.wto.org/imrd/directdoc.asp?DDFDocuments/u/G/TBTN26/CAN771.docx</v>
      </c>
      <c r="T587" t="str">
        <f>HYPERLINK("https://docs.wto.org/imrd/directdoc.asp?DDFDocuments/v/G/TBTN26/CAN771.docx", "https://docs.wto.org/imrd/directdoc.asp?DDFDocuments/v/G/TBTN26/CAN771.docx")</f>
        <v>https://docs.wto.org/imrd/directdoc.asp?DDFDocuments/v/G/TBTN26/CAN771.docx</v>
      </c>
      <c r="U587" t="s">
        <v>64</v>
      </c>
      <c r="V587" t="s">
        <v>46</v>
      </c>
      <c r="W587" t="s">
        <v>46</v>
      </c>
      <c r="X587" t="s">
        <v>46</v>
      </c>
      <c r="Y587" t="s">
        <v>46</v>
      </c>
      <c r="Z587" t="s">
        <v>46</v>
      </c>
      <c r="AA587" t="s">
        <v>46</v>
      </c>
      <c r="AB587" s="2" t="s">
        <v>2795</v>
      </c>
      <c r="AC587" t="s">
        <v>43</v>
      </c>
      <c r="AD587" t="s">
        <v>43</v>
      </c>
      <c r="AE587" t="s">
        <v>43</v>
      </c>
      <c r="AF587" t="s">
        <v>43</v>
      </c>
      <c r="AG587" t="s">
        <v>43</v>
      </c>
      <c r="AH587" s="2" t="s">
        <v>43</v>
      </c>
    </row>
    <row r="588" spans="1:34" ht="135">
      <c r="A588" s="6" t="s">
        <v>356</v>
      </c>
      <c r="B588" s="7">
        <v>46065</v>
      </c>
      <c r="C588" s="9" t="str">
        <f>HYPERLINK("https://eping.wto.org/en/Search?viewData= G/SPS/N/EU/919"," G/SPS/N/EU/919")</f>
        <v xml:space="preserve"> G/SPS/N/EU/919</v>
      </c>
      <c r="D588" s="8" t="s">
        <v>2796</v>
      </c>
      <c r="E588" s="8" t="s">
        <v>2797</v>
      </c>
      <c r="F588" s="8" t="s">
        <v>359</v>
      </c>
      <c r="G588" s="8" t="s">
        <v>156</v>
      </c>
      <c r="H588" s="8" t="s">
        <v>43</v>
      </c>
      <c r="I588" s="8" t="s">
        <v>361</v>
      </c>
      <c r="J588" s="8" t="s">
        <v>43</v>
      </c>
      <c r="K588" s="8" t="s">
        <v>2798</v>
      </c>
      <c r="L588" s="6"/>
      <c r="M588" s="7" t="s">
        <v>43</v>
      </c>
      <c r="N588" s="7">
        <v>46048</v>
      </c>
      <c r="O588" s="7" t="s">
        <v>1184</v>
      </c>
      <c r="P588" s="6" t="s">
        <v>62</v>
      </c>
      <c r="Q588" s="8" t="s">
        <v>2799</v>
      </c>
      <c r="R588" t="str">
        <f>HYPERLINK("https://docs.wto.org/imrd/directdoc.asp?DDFDocuments/t/G/SPS/NEU919.docx", "https://docs.wto.org/imrd/directdoc.asp?DDFDocuments/t/G/SPS/NEU919.docx")</f>
        <v>https://docs.wto.org/imrd/directdoc.asp?DDFDocuments/t/G/SPS/NEU919.docx</v>
      </c>
      <c r="S588" t="str">
        <f>HYPERLINK("https://docs.wto.org/imrd/directdoc.asp?DDFDocuments/u/G/SPS/NEU919.docx", "https://docs.wto.org/imrd/directdoc.asp?DDFDocuments/u/G/SPS/NEU919.docx")</f>
        <v>https://docs.wto.org/imrd/directdoc.asp?DDFDocuments/u/G/SPS/NEU919.docx</v>
      </c>
      <c r="T588" t="str">
        <f>HYPERLINK("https://docs.wto.org/imrd/directdoc.asp?DDFDocuments/v/G/SPS/NEU919.docx", "https://docs.wto.org/imrd/directdoc.asp?DDFDocuments/v/G/SPS/NEU919.docx")</f>
        <v>https://docs.wto.org/imrd/directdoc.asp?DDFDocuments/v/G/SPS/NEU919.docx</v>
      </c>
      <c r="U588" t="s">
        <v>43</v>
      </c>
      <c r="V588" t="s">
        <v>43</v>
      </c>
      <c r="W588" t="s">
        <v>43</v>
      </c>
      <c r="X588" t="s">
        <v>43</v>
      </c>
      <c r="Y588" t="s">
        <v>43</v>
      </c>
      <c r="Z588" t="s">
        <v>43</v>
      </c>
      <c r="AA588" t="s">
        <v>43</v>
      </c>
      <c r="AB588" s="2" t="s">
        <v>43</v>
      </c>
      <c r="AC588" t="s">
        <v>64</v>
      </c>
      <c r="AD588" t="s">
        <v>46</v>
      </c>
      <c r="AE588" t="s">
        <v>46</v>
      </c>
      <c r="AF588" t="s">
        <v>46</v>
      </c>
      <c r="AG588" t="s">
        <v>64</v>
      </c>
      <c r="AH588" s="2" t="s">
        <v>43</v>
      </c>
    </row>
    <row r="589" spans="1:34" ht="135">
      <c r="A589" s="6" t="s">
        <v>146</v>
      </c>
      <c r="B589" s="7">
        <v>46065</v>
      </c>
      <c r="C589" s="9" t="str">
        <f>HYPERLINK("https://eping.wto.org/en/Search?viewData= G/TBT/N/CHL/786"," G/TBT/N/CHL/786")</f>
        <v xml:space="preserve"> G/TBT/N/CHL/786</v>
      </c>
      <c r="D589" s="8" t="s">
        <v>2800</v>
      </c>
      <c r="E589" s="8" t="s">
        <v>2801</v>
      </c>
      <c r="F589" s="8" t="s">
        <v>1327</v>
      </c>
      <c r="G589" s="8" t="s">
        <v>43</v>
      </c>
      <c r="H589" s="8" t="s">
        <v>1427</v>
      </c>
      <c r="I589" s="8" t="s">
        <v>275</v>
      </c>
      <c r="J589" s="8" t="s">
        <v>43</v>
      </c>
      <c r="K589" s="8" t="s">
        <v>350</v>
      </c>
      <c r="L589" s="6"/>
      <c r="M589" s="7">
        <v>46095</v>
      </c>
      <c r="N589" s="7" t="s">
        <v>877</v>
      </c>
      <c r="O589" s="7" t="s">
        <v>877</v>
      </c>
      <c r="P589" s="6" t="s">
        <v>62</v>
      </c>
      <c r="Q589" s="8" t="s">
        <v>2802</v>
      </c>
      <c r="R589" t="str">
        <f>HYPERLINK("https://docs.wto.org/imrd/directdoc.asp?DDFDocuments/t/G/TBTN26/CHL786.docx", "https://docs.wto.org/imrd/directdoc.asp?DDFDocuments/t/G/TBTN26/CHL786.docx")</f>
        <v>https://docs.wto.org/imrd/directdoc.asp?DDFDocuments/t/G/TBTN26/CHL786.docx</v>
      </c>
      <c r="S589" t="str">
        <f>HYPERLINK("https://docs.wto.org/imrd/directdoc.asp?DDFDocuments/u/G/TBTN26/CHL786.docx", "https://docs.wto.org/imrd/directdoc.asp?DDFDocuments/u/G/TBTN26/CHL786.docx")</f>
        <v>https://docs.wto.org/imrd/directdoc.asp?DDFDocuments/u/G/TBTN26/CHL786.docx</v>
      </c>
      <c r="T589" t="str">
        <f>HYPERLINK("https://docs.wto.org/imrd/directdoc.asp?DDFDocuments/v/G/TBTN26/CHL786.docx", "https://docs.wto.org/imrd/directdoc.asp?DDFDocuments/v/G/TBTN26/CHL786.docx")</f>
        <v>https://docs.wto.org/imrd/directdoc.asp?DDFDocuments/v/G/TBTN26/CHL786.docx</v>
      </c>
      <c r="U589" t="s">
        <v>64</v>
      </c>
      <c r="V589" t="s">
        <v>46</v>
      </c>
      <c r="W589" t="s">
        <v>46</v>
      </c>
      <c r="X589" t="s">
        <v>46</v>
      </c>
      <c r="Y589" t="s">
        <v>46</v>
      </c>
      <c r="Z589" t="s">
        <v>46</v>
      </c>
      <c r="AA589" t="s">
        <v>46</v>
      </c>
      <c r="AB589" s="2" t="s">
        <v>2803</v>
      </c>
      <c r="AC589" t="s">
        <v>43</v>
      </c>
      <c r="AD589" t="s">
        <v>43</v>
      </c>
      <c r="AE589" t="s">
        <v>43</v>
      </c>
      <c r="AF589" t="s">
        <v>43</v>
      </c>
      <c r="AG589" t="s">
        <v>43</v>
      </c>
      <c r="AH589" s="2" t="s">
        <v>43</v>
      </c>
    </row>
    <row r="590" spans="1:34" ht="300">
      <c r="A590" s="6" t="s">
        <v>880</v>
      </c>
      <c r="B590" s="7">
        <v>46065</v>
      </c>
      <c r="C590" s="9" t="str">
        <f>HYPERLINK("https://eping.wto.org/en/Search?viewData= G/TBT/N/ECU/547/Add.4"," G/TBT/N/ECU/547/Add.4")</f>
        <v xml:space="preserve"> G/TBT/N/ECU/547/Add.4</v>
      </c>
      <c r="D590" s="8" t="s">
        <v>2804</v>
      </c>
      <c r="E590" s="8" t="s">
        <v>2805</v>
      </c>
      <c r="F590" s="8" t="s">
        <v>2806</v>
      </c>
      <c r="G590" s="8" t="s">
        <v>43</v>
      </c>
      <c r="H590" s="8" t="s">
        <v>858</v>
      </c>
      <c r="I590" s="8" t="s">
        <v>1483</v>
      </c>
      <c r="J590" s="8"/>
      <c r="K590" s="8" t="s">
        <v>860</v>
      </c>
      <c r="L590" s="6"/>
      <c r="M590" s="7" t="s">
        <v>43</v>
      </c>
      <c r="N590" s="7"/>
      <c r="O590" s="7"/>
      <c r="P590" s="6" t="s">
        <v>44</v>
      </c>
      <c r="Q590" s="8" t="s">
        <v>2807</v>
      </c>
      <c r="R590" t="str">
        <f>HYPERLINK("https://docs.wto.org/imrd/directdoc.asp?DDFDocuments/t/G/TBTN24/ECU547A4.docx", "https://docs.wto.org/imrd/directdoc.asp?DDFDocuments/t/G/TBTN24/ECU547A4.docx")</f>
        <v>https://docs.wto.org/imrd/directdoc.asp?DDFDocuments/t/G/TBTN24/ECU547A4.docx</v>
      </c>
      <c r="S590" t="str">
        <f>HYPERLINK("https://docs.wto.org/imrd/directdoc.asp?DDFDocuments/u/G/TBTN24/ECU547A4.docx", "https://docs.wto.org/imrd/directdoc.asp?DDFDocuments/u/G/TBTN24/ECU547A4.docx")</f>
        <v>https://docs.wto.org/imrd/directdoc.asp?DDFDocuments/u/G/TBTN24/ECU547A4.docx</v>
      </c>
      <c r="T590" t="str">
        <f>HYPERLINK("https://docs.wto.org/imrd/directdoc.asp?DDFDocuments/v/G/TBTN24/ECU547A4.docx", "https://docs.wto.org/imrd/directdoc.asp?DDFDocuments/v/G/TBTN24/ECU547A4.docx")</f>
        <v>https://docs.wto.org/imrd/directdoc.asp?DDFDocuments/v/G/TBTN24/ECU547A4.docx</v>
      </c>
      <c r="U590" t="s">
        <v>64</v>
      </c>
      <c r="V590" t="s">
        <v>46</v>
      </c>
      <c r="W590" t="s">
        <v>46</v>
      </c>
      <c r="X590" t="s">
        <v>46</v>
      </c>
      <c r="Y590" t="s">
        <v>46</v>
      </c>
      <c r="Z590" t="s">
        <v>46</v>
      </c>
      <c r="AA590" t="s">
        <v>46</v>
      </c>
      <c r="AB590" s="2" t="s">
        <v>43</v>
      </c>
      <c r="AC590" t="s">
        <v>43</v>
      </c>
      <c r="AD590" t="s">
        <v>43</v>
      </c>
      <c r="AE590" t="s">
        <v>43</v>
      </c>
      <c r="AF590" t="s">
        <v>43</v>
      </c>
      <c r="AG590" t="s">
        <v>43</v>
      </c>
      <c r="AH590" s="2" t="s">
        <v>43</v>
      </c>
    </row>
    <row r="591" spans="1:34" ht="75">
      <c r="A591" s="6" t="s">
        <v>158</v>
      </c>
      <c r="B591" s="7">
        <v>46065</v>
      </c>
      <c r="C591" s="9" t="str">
        <f>HYPERLINK("https://eping.wto.org/en/Search?viewData= G/TBT/N/UKR/339/Rev.1/Add.1"," G/TBT/N/UKR/339/Rev.1/Add.1")</f>
        <v xml:space="preserve"> G/TBT/N/UKR/339/Rev.1/Add.1</v>
      </c>
      <c r="D591" s="8" t="s">
        <v>2808</v>
      </c>
      <c r="E591" s="8" t="s">
        <v>2809</v>
      </c>
      <c r="F591" s="8" t="s">
        <v>2810</v>
      </c>
      <c r="G591" s="8" t="s">
        <v>43</v>
      </c>
      <c r="H591" s="8" t="s">
        <v>2811</v>
      </c>
      <c r="I591" s="8" t="s">
        <v>1388</v>
      </c>
      <c r="J591" s="8" t="s">
        <v>43</v>
      </c>
      <c r="K591" s="8" t="s">
        <v>43</v>
      </c>
      <c r="L591" s="6"/>
      <c r="M591" s="7" t="s">
        <v>43</v>
      </c>
      <c r="N591" s="7"/>
      <c r="O591" s="7"/>
      <c r="P591" s="6" t="s">
        <v>44</v>
      </c>
      <c r="Q591" s="8" t="s">
        <v>2812</v>
      </c>
      <c r="R591" t="str">
        <f>HYPERLINK("https://docs.wto.org/imrd/directdoc.asp?DDFDocuments/t/G/TBTN25/UKR339R1A1.docx", "https://docs.wto.org/imrd/directdoc.asp?DDFDocuments/t/G/TBTN25/UKR339R1A1.docx")</f>
        <v>https://docs.wto.org/imrd/directdoc.asp?DDFDocuments/t/G/TBTN25/UKR339R1A1.docx</v>
      </c>
      <c r="S591" t="str">
        <f>HYPERLINK("https://docs.wto.org/imrd/directdoc.asp?DDFDocuments/u/G/TBTN25/UKR339R1A1.docx", "https://docs.wto.org/imrd/directdoc.asp?DDFDocuments/u/G/TBTN25/UKR339R1A1.docx")</f>
        <v>https://docs.wto.org/imrd/directdoc.asp?DDFDocuments/u/G/TBTN25/UKR339R1A1.docx</v>
      </c>
      <c r="T591" t="str">
        <f>HYPERLINK("https://docs.wto.org/imrd/directdoc.asp?DDFDocuments/v/G/TBTN25/UKR339R1A1.docx", "https://docs.wto.org/imrd/directdoc.asp?DDFDocuments/v/G/TBTN25/UKR339R1A1.docx")</f>
        <v>https://docs.wto.org/imrd/directdoc.asp?DDFDocuments/v/G/TBTN25/UKR339R1A1.docx</v>
      </c>
      <c r="U591" t="s">
        <v>46</v>
      </c>
      <c r="V591" t="s">
        <v>46</v>
      </c>
      <c r="W591" t="s">
        <v>46</v>
      </c>
      <c r="X591" t="s">
        <v>46</v>
      </c>
      <c r="Y591" t="s">
        <v>46</v>
      </c>
      <c r="Z591" t="s">
        <v>46</v>
      </c>
      <c r="AA591" t="s">
        <v>46</v>
      </c>
      <c r="AB591" s="2" t="s">
        <v>43</v>
      </c>
      <c r="AC591" t="s">
        <v>43</v>
      </c>
      <c r="AD591" t="s">
        <v>43</v>
      </c>
      <c r="AE591" t="s">
        <v>43</v>
      </c>
      <c r="AF591" t="s">
        <v>43</v>
      </c>
      <c r="AG591" t="s">
        <v>43</v>
      </c>
      <c r="AH591" s="2" t="s">
        <v>43</v>
      </c>
    </row>
    <row r="592" spans="1:34" ht="45">
      <c r="A592" s="6" t="s">
        <v>2569</v>
      </c>
      <c r="B592" s="7">
        <v>46065</v>
      </c>
      <c r="C592" s="9" t="str">
        <f>HYPERLINK("https://eping.wto.org/en/Search?viewData= G/TBT/N/JOR/89"," G/TBT/N/JOR/89")</f>
        <v xml:space="preserve"> G/TBT/N/JOR/89</v>
      </c>
      <c r="D592" s="8" t="s">
        <v>2813</v>
      </c>
      <c r="E592" s="8" t="s">
        <v>2814</v>
      </c>
      <c r="F592" s="8" t="s">
        <v>2572</v>
      </c>
      <c r="G592" s="8" t="s">
        <v>43</v>
      </c>
      <c r="H592" s="8" t="s">
        <v>1985</v>
      </c>
      <c r="I592" s="8" t="s">
        <v>2050</v>
      </c>
      <c r="J592" s="8" t="s">
        <v>43</v>
      </c>
      <c r="K592" s="8" t="s">
        <v>240</v>
      </c>
      <c r="L592" s="6"/>
      <c r="M592" s="7">
        <v>46125</v>
      </c>
      <c r="N592" s="7">
        <v>46096</v>
      </c>
      <c r="O592" s="7">
        <v>46157</v>
      </c>
      <c r="P592" s="6" t="s">
        <v>62</v>
      </c>
      <c r="Q592" s="8" t="s">
        <v>2815</v>
      </c>
      <c r="R592" t="str">
        <f>HYPERLINK("https://docs.wto.org/imrd/directdoc.asp?DDFDocuments/t/G/TBTN26/JOR89.docx", "https://docs.wto.org/imrd/directdoc.asp?DDFDocuments/t/G/TBTN26/JOR89.docx")</f>
        <v>https://docs.wto.org/imrd/directdoc.asp?DDFDocuments/t/G/TBTN26/JOR89.docx</v>
      </c>
      <c r="S592" t="str">
        <f>HYPERLINK("https://docs.wto.org/imrd/directdoc.asp?DDFDocuments/u/G/TBTN26/JOR89.docx", "https://docs.wto.org/imrd/directdoc.asp?DDFDocuments/u/G/TBTN26/JOR89.docx")</f>
        <v>https://docs.wto.org/imrd/directdoc.asp?DDFDocuments/u/G/TBTN26/JOR89.docx</v>
      </c>
      <c r="T592" t="str">
        <f>HYPERLINK("https://docs.wto.org/imrd/directdoc.asp?DDFDocuments/v/G/TBTN26/JOR89.docx", "https://docs.wto.org/imrd/directdoc.asp?DDFDocuments/v/G/TBTN26/JOR89.docx")</f>
        <v>https://docs.wto.org/imrd/directdoc.asp?DDFDocuments/v/G/TBTN26/JOR89.docx</v>
      </c>
      <c r="U592" t="s">
        <v>64</v>
      </c>
      <c r="V592" t="s">
        <v>46</v>
      </c>
      <c r="W592" t="s">
        <v>46</v>
      </c>
      <c r="X592" t="s">
        <v>46</v>
      </c>
      <c r="Y592" t="s">
        <v>46</v>
      </c>
      <c r="Z592" t="s">
        <v>46</v>
      </c>
      <c r="AA592" t="s">
        <v>46</v>
      </c>
      <c r="AB592" s="2" t="s">
        <v>2816</v>
      </c>
      <c r="AC592" t="s">
        <v>43</v>
      </c>
      <c r="AD592" t="s">
        <v>43</v>
      </c>
      <c r="AE592" t="s">
        <v>43</v>
      </c>
      <c r="AF592" t="s">
        <v>43</v>
      </c>
      <c r="AG592" t="s">
        <v>43</v>
      </c>
      <c r="AH592" s="2" t="s">
        <v>43</v>
      </c>
    </row>
    <row r="593" spans="1:34" ht="90">
      <c r="A593" s="6" t="s">
        <v>577</v>
      </c>
      <c r="B593" s="7">
        <v>46064</v>
      </c>
      <c r="C593" s="9" t="str">
        <f>HYPERLINK("https://eping.wto.org/en/Search?viewData= G/TBT/N/BDI/451/Add.3, G/TBT/N/KEN/1556/Add.3, G/TBT/N/RWA/986/Add.3, G/TBT/N/TZA/1087/Add.3, G/TBT/N/UGA/1901/Add.3"," G/TBT/N/BDI/451/Add.3, G/TBT/N/KEN/1556/Add.3, G/TBT/N/RWA/986/Add.3, G/TBT/N/TZA/1087/Add.3, G/TBT/N/UGA/1901/Add.3")</f>
        <v xml:space="preserve"> G/TBT/N/BDI/451/Add.3, G/TBT/N/KEN/1556/Add.3, G/TBT/N/RWA/986/Add.3, G/TBT/N/TZA/1087/Add.3, G/TBT/N/UGA/1901/Add.3</v>
      </c>
      <c r="D593" s="8" t="s">
        <v>2817</v>
      </c>
      <c r="E593" s="8" t="s">
        <v>2818</v>
      </c>
      <c r="F593" s="8" t="s">
        <v>2819</v>
      </c>
      <c r="G593" s="8" t="s">
        <v>2820</v>
      </c>
      <c r="H593" s="8" t="s">
        <v>2821</v>
      </c>
      <c r="I593" s="8" t="s">
        <v>2822</v>
      </c>
      <c r="J593" s="8" t="s">
        <v>43</v>
      </c>
      <c r="K593" s="8" t="s">
        <v>1029</v>
      </c>
      <c r="L593" s="6"/>
      <c r="M593" s="7" t="s">
        <v>43</v>
      </c>
      <c r="N593" s="7"/>
      <c r="O593" s="7"/>
      <c r="P593" s="6" t="s">
        <v>44</v>
      </c>
      <c r="Q593" s="6"/>
      <c r="R593" t="str">
        <f>HYPERLINK("https://docs.wto.org/imrd/directdoc.asp?DDFDocuments/t/G/TBTN24/BDI451A3.docx", "https://docs.wto.org/imrd/directdoc.asp?DDFDocuments/t/G/TBTN24/BDI451A3.docx")</f>
        <v>https://docs.wto.org/imrd/directdoc.asp?DDFDocuments/t/G/TBTN24/BDI451A3.docx</v>
      </c>
      <c r="S593" t="str">
        <f>HYPERLINK("https://docs.wto.org/imrd/directdoc.asp?DDFDocuments/u/G/TBTN24/BDI451A3.docx", "https://docs.wto.org/imrd/directdoc.asp?DDFDocuments/u/G/TBTN24/BDI451A3.docx")</f>
        <v>https://docs.wto.org/imrd/directdoc.asp?DDFDocuments/u/G/TBTN24/BDI451A3.docx</v>
      </c>
      <c r="T593" t="str">
        <f>HYPERLINK("https://docs.wto.org/imrd/directdoc.asp?DDFDocuments/v/G/TBTN24/BDI451A3.docx", "https://docs.wto.org/imrd/directdoc.asp?DDFDocuments/v/G/TBTN24/BDI451A3.docx")</f>
        <v>https://docs.wto.org/imrd/directdoc.asp?DDFDocuments/v/G/TBTN24/BDI451A3.docx</v>
      </c>
      <c r="U593" t="s">
        <v>64</v>
      </c>
      <c r="V593" t="s">
        <v>46</v>
      </c>
      <c r="W593" t="s">
        <v>46</v>
      </c>
      <c r="X593" t="s">
        <v>46</v>
      </c>
      <c r="Y593" t="s">
        <v>46</v>
      </c>
      <c r="Z593" t="s">
        <v>46</v>
      </c>
      <c r="AA593" t="s">
        <v>46</v>
      </c>
      <c r="AB593" s="2" t="s">
        <v>43</v>
      </c>
      <c r="AC593" t="s">
        <v>43</v>
      </c>
      <c r="AD593" t="s">
        <v>43</v>
      </c>
      <c r="AE593" t="s">
        <v>43</v>
      </c>
      <c r="AF593" t="s">
        <v>43</v>
      </c>
      <c r="AG593" t="s">
        <v>43</v>
      </c>
      <c r="AH593" s="2" t="s">
        <v>43</v>
      </c>
    </row>
    <row r="594" spans="1:34" ht="90">
      <c r="A594" s="6" t="s">
        <v>509</v>
      </c>
      <c r="B594" s="7">
        <v>46064</v>
      </c>
      <c r="C594" s="9" t="str">
        <f>HYPERLINK("https://eping.wto.org/en/Search?viewData= G/TBT/N/BDI/451/Add.3, G/TBT/N/KEN/1556/Add.3, G/TBT/N/RWA/986/Add.3, G/TBT/N/TZA/1087/Add.3, G/TBT/N/UGA/1901/Add.3"," G/TBT/N/BDI/451/Add.3, G/TBT/N/KEN/1556/Add.3, G/TBT/N/RWA/986/Add.3, G/TBT/N/TZA/1087/Add.3, G/TBT/N/UGA/1901/Add.3")</f>
        <v xml:space="preserve"> G/TBT/N/BDI/451/Add.3, G/TBT/N/KEN/1556/Add.3, G/TBT/N/RWA/986/Add.3, G/TBT/N/TZA/1087/Add.3, G/TBT/N/UGA/1901/Add.3</v>
      </c>
      <c r="D594" s="8" t="s">
        <v>2817</v>
      </c>
      <c r="E594" s="8" t="s">
        <v>2818</v>
      </c>
      <c r="F594" s="8" t="s">
        <v>2819</v>
      </c>
      <c r="G594" s="8" t="s">
        <v>2820</v>
      </c>
      <c r="H594" s="8" t="s">
        <v>2821</v>
      </c>
      <c r="I594" s="8" t="s">
        <v>2822</v>
      </c>
      <c r="J594" s="8" t="s">
        <v>43</v>
      </c>
      <c r="K594" s="8" t="s">
        <v>1029</v>
      </c>
      <c r="L594" s="6"/>
      <c r="M594" s="7" t="s">
        <v>43</v>
      </c>
      <c r="N594" s="7"/>
      <c r="O594" s="7"/>
      <c r="P594" s="6" t="s">
        <v>44</v>
      </c>
      <c r="Q594" s="6"/>
      <c r="R594" t="str">
        <f>HYPERLINK("https://docs.wto.org/imrd/directdoc.asp?DDFDocuments/t/G/TBTN24/BDI451A3.docx", "https://docs.wto.org/imrd/directdoc.asp?DDFDocuments/t/G/TBTN24/BDI451A3.docx")</f>
        <v>https://docs.wto.org/imrd/directdoc.asp?DDFDocuments/t/G/TBTN24/BDI451A3.docx</v>
      </c>
      <c r="S594" t="str">
        <f>HYPERLINK("https://docs.wto.org/imrd/directdoc.asp?DDFDocuments/u/G/TBTN24/BDI451A3.docx", "https://docs.wto.org/imrd/directdoc.asp?DDFDocuments/u/G/TBTN24/BDI451A3.docx")</f>
        <v>https://docs.wto.org/imrd/directdoc.asp?DDFDocuments/u/G/TBTN24/BDI451A3.docx</v>
      </c>
      <c r="T594" t="str">
        <f>HYPERLINK("https://docs.wto.org/imrd/directdoc.asp?DDFDocuments/v/G/TBTN24/BDI451A3.docx", "https://docs.wto.org/imrd/directdoc.asp?DDFDocuments/v/G/TBTN24/BDI451A3.docx")</f>
        <v>https://docs.wto.org/imrd/directdoc.asp?DDFDocuments/v/G/TBTN24/BDI451A3.docx</v>
      </c>
      <c r="U594" t="s">
        <v>64</v>
      </c>
      <c r="V594" t="s">
        <v>46</v>
      </c>
      <c r="W594" t="s">
        <v>46</v>
      </c>
      <c r="X594" t="s">
        <v>46</v>
      </c>
      <c r="Y594" t="s">
        <v>46</v>
      </c>
      <c r="Z594" t="s">
        <v>46</v>
      </c>
      <c r="AA594" t="s">
        <v>46</v>
      </c>
      <c r="AB594" s="2" t="s">
        <v>43</v>
      </c>
      <c r="AC594" t="s">
        <v>43</v>
      </c>
      <c r="AD594" t="s">
        <v>43</v>
      </c>
      <c r="AE594" t="s">
        <v>43</v>
      </c>
      <c r="AF594" t="s">
        <v>43</v>
      </c>
      <c r="AG594" t="s">
        <v>43</v>
      </c>
      <c r="AH594" s="2" t="s">
        <v>43</v>
      </c>
    </row>
    <row r="595" spans="1:34" ht="90">
      <c r="A595" s="6" t="s">
        <v>509</v>
      </c>
      <c r="B595" s="7">
        <v>46064</v>
      </c>
      <c r="C595" s="9" t="str">
        <f>HYPERLINK("https://eping.wto.org/en/Search?viewData= G/TBT/N/BDI/280/Add.2, G/TBT/N/KEN/1314/Add.2, G/TBT/N/RWA/714/Add.2, G/TBT/N/TZA/833/Add.2, G/TBT/N/UGA/1688/Add.2"," G/TBT/N/BDI/280/Add.2, G/TBT/N/KEN/1314/Add.2, G/TBT/N/RWA/714/Add.2, G/TBT/N/TZA/833/Add.2, G/TBT/N/UGA/1688/Add.2")</f>
        <v xml:space="preserve"> G/TBT/N/BDI/280/Add.2, G/TBT/N/KEN/1314/Add.2, G/TBT/N/RWA/714/Add.2, G/TBT/N/TZA/833/Add.2, G/TBT/N/UGA/1688/Add.2</v>
      </c>
      <c r="D595" s="8" t="s">
        <v>2823</v>
      </c>
      <c r="E595" s="8" t="s">
        <v>2824</v>
      </c>
      <c r="F595" s="8" t="s">
        <v>2825</v>
      </c>
      <c r="G595" s="8" t="s">
        <v>43</v>
      </c>
      <c r="H595" s="8" t="s">
        <v>2826</v>
      </c>
      <c r="I595" s="8" t="s">
        <v>2827</v>
      </c>
      <c r="J595" s="8" t="s">
        <v>43</v>
      </c>
      <c r="K595" s="8" t="s">
        <v>1029</v>
      </c>
      <c r="L595" s="6"/>
      <c r="M595" s="7" t="s">
        <v>43</v>
      </c>
      <c r="N595" s="7"/>
      <c r="O595" s="7"/>
      <c r="P595" s="6" t="s">
        <v>44</v>
      </c>
      <c r="Q595" s="6"/>
      <c r="R595" t="str">
        <f>HYPERLINK("https://docs.wto.org/imrd/directdoc.asp?DDFDocuments/t/G/TBTN22/BDI280A2.docx", "https://docs.wto.org/imrd/directdoc.asp?DDFDocuments/t/G/TBTN22/BDI280A2.docx")</f>
        <v>https://docs.wto.org/imrd/directdoc.asp?DDFDocuments/t/G/TBTN22/BDI280A2.docx</v>
      </c>
      <c r="S595" t="str">
        <f>HYPERLINK("https://docs.wto.org/imrd/directdoc.asp?DDFDocuments/u/G/TBTN22/BDI280A2.docx", "https://docs.wto.org/imrd/directdoc.asp?DDFDocuments/u/G/TBTN22/BDI280A2.docx")</f>
        <v>https://docs.wto.org/imrd/directdoc.asp?DDFDocuments/u/G/TBTN22/BDI280A2.docx</v>
      </c>
      <c r="T595" t="str">
        <f>HYPERLINK("https://docs.wto.org/imrd/directdoc.asp?DDFDocuments/v/G/TBTN22/BDI280A2.docx", "https://docs.wto.org/imrd/directdoc.asp?DDFDocuments/v/G/TBTN22/BDI280A2.docx")</f>
        <v>https://docs.wto.org/imrd/directdoc.asp?DDFDocuments/v/G/TBTN22/BDI280A2.docx</v>
      </c>
      <c r="U595" t="s">
        <v>64</v>
      </c>
      <c r="V595" t="s">
        <v>46</v>
      </c>
      <c r="W595" t="s">
        <v>64</v>
      </c>
      <c r="X595" t="s">
        <v>46</v>
      </c>
      <c r="Y595" t="s">
        <v>46</v>
      </c>
      <c r="Z595" t="s">
        <v>46</v>
      </c>
      <c r="AA595" t="s">
        <v>46</v>
      </c>
      <c r="AB595" s="2" t="s">
        <v>43</v>
      </c>
      <c r="AC595" t="s">
        <v>43</v>
      </c>
      <c r="AD595" t="s">
        <v>43</v>
      </c>
      <c r="AE595" t="s">
        <v>43</v>
      </c>
      <c r="AF595" t="s">
        <v>43</v>
      </c>
      <c r="AG595" t="s">
        <v>43</v>
      </c>
      <c r="AH595" s="2" t="s">
        <v>43</v>
      </c>
    </row>
    <row r="596" spans="1:34" ht="90">
      <c r="A596" s="6" t="s">
        <v>577</v>
      </c>
      <c r="B596" s="7">
        <v>46064</v>
      </c>
      <c r="C596" s="9" t="str">
        <f>HYPERLINK("https://eping.wto.org/en/Search?viewData= G/TBT/N/BDI/281/Add.3, G/TBT/N/KEN/1315/Add.3, G/TBT/N/RWA/715/Add.3, G/TBT/N/TZA/834/Add.3, G/TBT/N/UGA/1689/Add.3"," G/TBT/N/BDI/281/Add.3, G/TBT/N/KEN/1315/Add.3, G/TBT/N/RWA/715/Add.3, G/TBT/N/TZA/834/Add.3, G/TBT/N/UGA/1689/Add.3")</f>
        <v xml:space="preserve"> G/TBT/N/BDI/281/Add.3, G/TBT/N/KEN/1315/Add.3, G/TBT/N/RWA/715/Add.3, G/TBT/N/TZA/834/Add.3, G/TBT/N/UGA/1689/Add.3</v>
      </c>
      <c r="D596" s="8" t="s">
        <v>2828</v>
      </c>
      <c r="E596" s="8" t="s">
        <v>2829</v>
      </c>
      <c r="F596" s="8" t="s">
        <v>2825</v>
      </c>
      <c r="G596" s="8" t="s">
        <v>43</v>
      </c>
      <c r="H596" s="8" t="s">
        <v>2826</v>
      </c>
      <c r="I596" s="8" t="s">
        <v>2827</v>
      </c>
      <c r="J596" s="8" t="s">
        <v>43</v>
      </c>
      <c r="K596" s="8" t="s">
        <v>1029</v>
      </c>
      <c r="L596" s="6"/>
      <c r="M596" s="7" t="s">
        <v>43</v>
      </c>
      <c r="N596" s="7"/>
      <c r="O596" s="7"/>
      <c r="P596" s="6" t="s">
        <v>44</v>
      </c>
      <c r="Q596" s="6"/>
      <c r="R596" t="str">
        <f>HYPERLINK("https://docs.wto.org/imrd/directdoc.asp?DDFDocuments/t/G/TBTN22/BDI281A3.docx", "https://docs.wto.org/imrd/directdoc.asp?DDFDocuments/t/G/TBTN22/BDI281A3.docx")</f>
        <v>https://docs.wto.org/imrd/directdoc.asp?DDFDocuments/t/G/TBTN22/BDI281A3.docx</v>
      </c>
      <c r="S596" t="str">
        <f>HYPERLINK("https://docs.wto.org/imrd/directdoc.asp?DDFDocuments/u/G/TBTN22/BDI281A3.docx", "https://docs.wto.org/imrd/directdoc.asp?DDFDocuments/u/G/TBTN22/BDI281A3.docx")</f>
        <v>https://docs.wto.org/imrd/directdoc.asp?DDFDocuments/u/G/TBTN22/BDI281A3.docx</v>
      </c>
      <c r="T596" t="str">
        <f>HYPERLINK("https://docs.wto.org/imrd/directdoc.asp?DDFDocuments/v/G/TBTN22/BDI281A3.docx", "https://docs.wto.org/imrd/directdoc.asp?DDFDocuments/v/G/TBTN22/BDI281A3.docx")</f>
        <v>https://docs.wto.org/imrd/directdoc.asp?DDFDocuments/v/G/TBTN22/BDI281A3.docx</v>
      </c>
      <c r="U596" t="s">
        <v>64</v>
      </c>
      <c r="V596" t="s">
        <v>46</v>
      </c>
      <c r="W596" t="s">
        <v>64</v>
      </c>
      <c r="X596" t="s">
        <v>46</v>
      </c>
      <c r="Y596" t="s">
        <v>46</v>
      </c>
      <c r="Z596" t="s">
        <v>46</v>
      </c>
      <c r="AA596" t="s">
        <v>46</v>
      </c>
      <c r="AB596" s="2" t="s">
        <v>43</v>
      </c>
      <c r="AC596" t="s">
        <v>43</v>
      </c>
      <c r="AD596" t="s">
        <v>43</v>
      </c>
      <c r="AE596" t="s">
        <v>43</v>
      </c>
      <c r="AF596" t="s">
        <v>43</v>
      </c>
      <c r="AG596" t="s">
        <v>43</v>
      </c>
      <c r="AH596" s="2" t="s">
        <v>43</v>
      </c>
    </row>
    <row r="597" spans="1:34" ht="90">
      <c r="A597" s="6" t="s">
        <v>124</v>
      </c>
      <c r="B597" s="7">
        <v>46064</v>
      </c>
      <c r="C597" s="9" t="str">
        <f>HYPERLINK("https://eping.wto.org/en/Search?viewData= G/TBT/N/BDI/281/Add.3, G/TBT/N/KEN/1315/Add.3, G/TBT/N/RWA/715/Add.3, G/TBT/N/TZA/834/Add.3, G/TBT/N/UGA/1689/Add.3"," G/TBT/N/BDI/281/Add.3, G/TBT/N/KEN/1315/Add.3, G/TBT/N/RWA/715/Add.3, G/TBT/N/TZA/834/Add.3, G/TBT/N/UGA/1689/Add.3")</f>
        <v xml:space="preserve"> G/TBT/N/BDI/281/Add.3, G/TBT/N/KEN/1315/Add.3, G/TBT/N/RWA/715/Add.3, G/TBT/N/TZA/834/Add.3, G/TBT/N/UGA/1689/Add.3</v>
      </c>
      <c r="D597" s="8" t="s">
        <v>2828</v>
      </c>
      <c r="E597" s="8" t="s">
        <v>2829</v>
      </c>
      <c r="F597" s="8" t="s">
        <v>2825</v>
      </c>
      <c r="G597" s="8" t="s">
        <v>43</v>
      </c>
      <c r="H597" s="8" t="s">
        <v>2826</v>
      </c>
      <c r="I597" s="8" t="s">
        <v>2827</v>
      </c>
      <c r="J597" s="8" t="s">
        <v>43</v>
      </c>
      <c r="K597" s="8" t="s">
        <v>1029</v>
      </c>
      <c r="L597" s="6"/>
      <c r="M597" s="7" t="s">
        <v>43</v>
      </c>
      <c r="N597" s="7"/>
      <c r="O597" s="7"/>
      <c r="P597" s="6" t="s">
        <v>44</v>
      </c>
      <c r="Q597" s="6"/>
      <c r="R597" t="str">
        <f>HYPERLINK("https://docs.wto.org/imrd/directdoc.asp?DDFDocuments/t/G/TBTN22/BDI281A3.docx", "https://docs.wto.org/imrd/directdoc.asp?DDFDocuments/t/G/TBTN22/BDI281A3.docx")</f>
        <v>https://docs.wto.org/imrd/directdoc.asp?DDFDocuments/t/G/TBTN22/BDI281A3.docx</v>
      </c>
      <c r="S597" t="str">
        <f>HYPERLINK("https://docs.wto.org/imrd/directdoc.asp?DDFDocuments/u/G/TBTN22/BDI281A3.docx", "https://docs.wto.org/imrd/directdoc.asp?DDFDocuments/u/G/TBTN22/BDI281A3.docx")</f>
        <v>https://docs.wto.org/imrd/directdoc.asp?DDFDocuments/u/G/TBTN22/BDI281A3.docx</v>
      </c>
      <c r="T597" t="str">
        <f>HYPERLINK("https://docs.wto.org/imrd/directdoc.asp?DDFDocuments/v/G/TBTN22/BDI281A3.docx", "https://docs.wto.org/imrd/directdoc.asp?DDFDocuments/v/G/TBTN22/BDI281A3.docx")</f>
        <v>https://docs.wto.org/imrd/directdoc.asp?DDFDocuments/v/G/TBTN22/BDI281A3.docx</v>
      </c>
      <c r="U597" t="s">
        <v>64</v>
      </c>
      <c r="V597" t="s">
        <v>46</v>
      </c>
      <c r="W597" t="s">
        <v>64</v>
      </c>
      <c r="X597" t="s">
        <v>46</v>
      </c>
      <c r="Y597" t="s">
        <v>46</v>
      </c>
      <c r="Z597" t="s">
        <v>46</v>
      </c>
      <c r="AA597" t="s">
        <v>46</v>
      </c>
      <c r="AB597" s="2" t="s">
        <v>43</v>
      </c>
      <c r="AC597" t="s">
        <v>43</v>
      </c>
      <c r="AD597" t="s">
        <v>43</v>
      </c>
      <c r="AE597" t="s">
        <v>43</v>
      </c>
      <c r="AF597" t="s">
        <v>43</v>
      </c>
      <c r="AG597" t="s">
        <v>43</v>
      </c>
      <c r="AH597" s="2" t="s">
        <v>43</v>
      </c>
    </row>
    <row r="598" spans="1:34">
      <c r="A598" s="6" t="s">
        <v>96</v>
      </c>
      <c r="B598" s="7">
        <v>46064</v>
      </c>
      <c r="C598" s="9" t="str">
        <f>HYPERLINK("https://eping.wto.org/en/Search?viewData= G/TBT/N/ISR/1317/Add.1"," G/TBT/N/ISR/1317/Add.1")</f>
        <v xml:space="preserve"> G/TBT/N/ISR/1317/Add.1</v>
      </c>
      <c r="D598" s="8" t="s">
        <v>2830</v>
      </c>
      <c r="E598" s="8" t="s">
        <v>43</v>
      </c>
      <c r="F598" s="8" t="s">
        <v>2831</v>
      </c>
      <c r="G598" s="8" t="s">
        <v>2832</v>
      </c>
      <c r="H598" s="8" t="s">
        <v>819</v>
      </c>
      <c r="I598" s="8" t="s">
        <v>275</v>
      </c>
      <c r="J598" s="8" t="s">
        <v>43</v>
      </c>
      <c r="K598" s="8" t="s">
        <v>43</v>
      </c>
      <c r="L598" s="6"/>
      <c r="M598" s="7" t="s">
        <v>43</v>
      </c>
      <c r="N598" s="7"/>
      <c r="O598" s="7"/>
      <c r="P598" s="6" t="s">
        <v>44</v>
      </c>
      <c r="Q598" s="8" t="s">
        <v>2833</v>
      </c>
      <c r="R598" t="str">
        <f>HYPERLINK("https://docs.wto.org/imrd/directdoc.asp?DDFDocuments/t/G/TBTN24/ISR1317A1.docx", "https://docs.wto.org/imrd/directdoc.asp?DDFDocuments/t/G/TBTN24/ISR1317A1.docx")</f>
        <v>https://docs.wto.org/imrd/directdoc.asp?DDFDocuments/t/G/TBTN24/ISR1317A1.docx</v>
      </c>
      <c r="S598" t="str">
        <f>HYPERLINK("https://docs.wto.org/imrd/directdoc.asp?DDFDocuments/u/G/TBTN24/ISR1317A1.docx", "https://docs.wto.org/imrd/directdoc.asp?DDFDocuments/u/G/TBTN24/ISR1317A1.docx")</f>
        <v>https://docs.wto.org/imrd/directdoc.asp?DDFDocuments/u/G/TBTN24/ISR1317A1.docx</v>
      </c>
      <c r="T598" t="str">
        <f>HYPERLINK("https://docs.wto.org/imrd/directdoc.asp?DDFDocuments/v/G/TBTN24/ISR1317A1.docx", "https://docs.wto.org/imrd/directdoc.asp?DDFDocuments/v/G/TBTN24/ISR1317A1.docx")</f>
        <v>https://docs.wto.org/imrd/directdoc.asp?DDFDocuments/v/G/TBTN24/ISR1317A1.docx</v>
      </c>
      <c r="U598" t="s">
        <v>64</v>
      </c>
      <c r="V598" t="s">
        <v>46</v>
      </c>
      <c r="W598" t="s">
        <v>46</v>
      </c>
      <c r="X598" t="s">
        <v>46</v>
      </c>
      <c r="Y598" t="s">
        <v>46</v>
      </c>
      <c r="Z598" t="s">
        <v>46</v>
      </c>
      <c r="AA598" t="s">
        <v>46</v>
      </c>
      <c r="AB598" s="2" t="s">
        <v>43</v>
      </c>
      <c r="AC598" t="s">
        <v>43</v>
      </c>
      <c r="AD598" t="s">
        <v>43</v>
      </c>
      <c r="AE598" t="s">
        <v>43</v>
      </c>
      <c r="AF598" t="s">
        <v>43</v>
      </c>
      <c r="AG598" t="s">
        <v>43</v>
      </c>
      <c r="AH598" s="2" t="s">
        <v>43</v>
      </c>
    </row>
    <row r="599" spans="1:34" ht="60">
      <c r="A599" s="6" t="s">
        <v>390</v>
      </c>
      <c r="B599" s="7">
        <v>46064</v>
      </c>
      <c r="C599" s="9" t="str">
        <f>HYPERLINK("https://eping.wto.org/en/Search?viewData= G/TBT/N/BDI/280/Add.2, G/TBT/N/KEN/1314/Add.2, G/TBT/N/RWA/714/Add.2, G/TBT/N/TZA/833/Add.2, G/TBT/N/UGA/1688/Add.2"," G/TBT/N/BDI/280/Add.2, G/TBT/N/KEN/1314/Add.2, G/TBT/N/RWA/714/Add.2, G/TBT/N/TZA/833/Add.2, G/TBT/N/UGA/1688/Add.2")</f>
        <v xml:space="preserve"> G/TBT/N/BDI/280/Add.2, G/TBT/N/KEN/1314/Add.2, G/TBT/N/RWA/714/Add.2, G/TBT/N/TZA/833/Add.2, G/TBT/N/UGA/1688/Add.2</v>
      </c>
      <c r="D599" s="8" t="s">
        <v>2823</v>
      </c>
      <c r="E599" s="8" t="s">
        <v>2824</v>
      </c>
      <c r="F599" s="8" t="s">
        <v>2825</v>
      </c>
      <c r="G599" s="8" t="s">
        <v>43</v>
      </c>
      <c r="H599" s="8" t="s">
        <v>2826</v>
      </c>
      <c r="I599" s="8" t="s">
        <v>2834</v>
      </c>
      <c r="J599" s="8" t="s">
        <v>43</v>
      </c>
      <c r="K599" s="8" t="s">
        <v>1029</v>
      </c>
      <c r="L599" s="6"/>
      <c r="M599" s="7" t="s">
        <v>43</v>
      </c>
      <c r="N599" s="7"/>
      <c r="O599" s="7"/>
      <c r="P599" s="6" t="s">
        <v>44</v>
      </c>
      <c r="Q599" s="6"/>
      <c r="R599" t="str">
        <f>HYPERLINK("https://docs.wto.org/imrd/directdoc.asp?DDFDocuments/t/G/TBTN22/BDI280A2.docx", "https://docs.wto.org/imrd/directdoc.asp?DDFDocuments/t/G/TBTN22/BDI280A2.docx")</f>
        <v>https://docs.wto.org/imrd/directdoc.asp?DDFDocuments/t/G/TBTN22/BDI280A2.docx</v>
      </c>
      <c r="S599" t="str">
        <f>HYPERLINK("https://docs.wto.org/imrd/directdoc.asp?DDFDocuments/u/G/TBTN22/BDI280A2.docx", "https://docs.wto.org/imrd/directdoc.asp?DDFDocuments/u/G/TBTN22/BDI280A2.docx")</f>
        <v>https://docs.wto.org/imrd/directdoc.asp?DDFDocuments/u/G/TBTN22/BDI280A2.docx</v>
      </c>
      <c r="T599" t="str">
        <f>HYPERLINK("https://docs.wto.org/imrd/directdoc.asp?DDFDocuments/v/G/TBTN22/BDI280A2.docx", "https://docs.wto.org/imrd/directdoc.asp?DDFDocuments/v/G/TBTN22/BDI280A2.docx")</f>
        <v>https://docs.wto.org/imrd/directdoc.asp?DDFDocuments/v/G/TBTN22/BDI280A2.docx</v>
      </c>
      <c r="U599" t="s">
        <v>64</v>
      </c>
      <c r="V599" t="s">
        <v>46</v>
      </c>
      <c r="W599" t="s">
        <v>64</v>
      </c>
      <c r="X599" t="s">
        <v>46</v>
      </c>
      <c r="Y599" t="s">
        <v>46</v>
      </c>
      <c r="Z599" t="s">
        <v>46</v>
      </c>
      <c r="AA599" t="s">
        <v>46</v>
      </c>
      <c r="AB599" s="2" t="s">
        <v>43</v>
      </c>
      <c r="AC599" t="s">
        <v>43</v>
      </c>
      <c r="AD599" t="s">
        <v>43</v>
      </c>
      <c r="AE599" t="s">
        <v>43</v>
      </c>
      <c r="AF599" t="s">
        <v>43</v>
      </c>
      <c r="AG599" t="s">
        <v>43</v>
      </c>
      <c r="AH599" s="2" t="s">
        <v>43</v>
      </c>
    </row>
    <row r="600" spans="1:34" ht="60">
      <c r="A600" s="6" t="s">
        <v>390</v>
      </c>
      <c r="B600" s="7">
        <v>46064</v>
      </c>
      <c r="C600" s="9" t="str">
        <f>HYPERLINK("https://eping.wto.org/en/Search?viewData= G/TBT/N/BDI/216/Add.3, G/TBT/N/KEN/1225/Add.3, G/TBT/N/RWA/642/Add.3, G/TBT/N/TZA/717/Add.3, G/TBT/N/UGA/1549/Add.3"," G/TBT/N/BDI/216/Add.3, G/TBT/N/KEN/1225/Add.3, G/TBT/N/RWA/642/Add.3, G/TBT/N/TZA/717/Add.3, G/TBT/N/UGA/1549/Add.3")</f>
        <v xml:space="preserve"> G/TBT/N/BDI/216/Add.3, G/TBT/N/KEN/1225/Add.3, G/TBT/N/RWA/642/Add.3, G/TBT/N/TZA/717/Add.3, G/TBT/N/UGA/1549/Add.3</v>
      </c>
      <c r="D600" s="8" t="s">
        <v>2835</v>
      </c>
      <c r="E600" s="8" t="s">
        <v>2836</v>
      </c>
      <c r="F600" s="8" t="s">
        <v>2837</v>
      </c>
      <c r="G600" s="8" t="s">
        <v>43</v>
      </c>
      <c r="H600" s="8" t="s">
        <v>39</v>
      </c>
      <c r="I600" s="8" t="s">
        <v>2838</v>
      </c>
      <c r="J600" s="8" t="s">
        <v>43</v>
      </c>
      <c r="K600" s="8" t="s">
        <v>2839</v>
      </c>
      <c r="L600" s="6"/>
      <c r="M600" s="7" t="s">
        <v>43</v>
      </c>
      <c r="N600" s="7"/>
      <c r="O600" s="7"/>
      <c r="P600" s="6" t="s">
        <v>44</v>
      </c>
      <c r="Q600" s="6"/>
      <c r="R600" t="str">
        <f>HYPERLINK("https://docs.wto.org/imrd/directdoc.asp?DDFDocuments/t/G/TBTN22/BDI216A3.docx", "https://docs.wto.org/imrd/directdoc.asp?DDFDocuments/t/G/TBTN22/BDI216A3.docx")</f>
        <v>https://docs.wto.org/imrd/directdoc.asp?DDFDocuments/t/G/TBTN22/BDI216A3.docx</v>
      </c>
      <c r="S600" t="str">
        <f>HYPERLINK("https://docs.wto.org/imrd/directdoc.asp?DDFDocuments/u/G/TBTN22/BDI216A3.docx", "https://docs.wto.org/imrd/directdoc.asp?DDFDocuments/u/G/TBTN22/BDI216A3.docx")</f>
        <v>https://docs.wto.org/imrd/directdoc.asp?DDFDocuments/u/G/TBTN22/BDI216A3.docx</v>
      </c>
      <c r="T600" t="str">
        <f>HYPERLINK("https://docs.wto.org/imrd/directdoc.asp?DDFDocuments/v/G/TBTN22/BDI216A3.docx", "https://docs.wto.org/imrd/directdoc.asp?DDFDocuments/v/G/TBTN22/BDI216A3.docx")</f>
        <v>https://docs.wto.org/imrd/directdoc.asp?DDFDocuments/v/G/TBTN22/BDI216A3.docx</v>
      </c>
      <c r="U600" t="s">
        <v>64</v>
      </c>
      <c r="V600" t="s">
        <v>46</v>
      </c>
      <c r="W600" t="s">
        <v>46</v>
      </c>
      <c r="X600" t="s">
        <v>46</v>
      </c>
      <c r="Y600" t="s">
        <v>46</v>
      </c>
      <c r="Z600" t="s">
        <v>46</v>
      </c>
      <c r="AA600" t="s">
        <v>46</v>
      </c>
      <c r="AB600" s="2" t="s">
        <v>43</v>
      </c>
      <c r="AC600" t="s">
        <v>43</v>
      </c>
      <c r="AD600" t="s">
        <v>43</v>
      </c>
      <c r="AE600" t="s">
        <v>43</v>
      </c>
      <c r="AF600" t="s">
        <v>43</v>
      </c>
      <c r="AG600" t="s">
        <v>43</v>
      </c>
      <c r="AH600" s="2" t="s">
        <v>43</v>
      </c>
    </row>
    <row r="601" spans="1:34" ht="90">
      <c r="A601" s="6" t="s">
        <v>390</v>
      </c>
      <c r="B601" s="7">
        <v>46064</v>
      </c>
      <c r="C601" s="9" t="str">
        <f>HYPERLINK("https://eping.wto.org/en/Search?viewData= G/TBT/N/BDI/450/Add.3, G/TBT/N/KEN/1555/Add.3, G/TBT/N/RWA/985/Add.3, G/TBT/N/TZA/1086/Add.3, G/TBT/N/UGA/1900/Add.3"," G/TBT/N/BDI/450/Add.3, G/TBT/N/KEN/1555/Add.3, G/TBT/N/RWA/985/Add.3, G/TBT/N/TZA/1086/Add.3, G/TBT/N/UGA/1900/Add.3")</f>
        <v xml:space="preserve"> G/TBT/N/BDI/450/Add.3, G/TBT/N/KEN/1555/Add.3, G/TBT/N/RWA/985/Add.3, G/TBT/N/TZA/1086/Add.3, G/TBT/N/UGA/1900/Add.3</v>
      </c>
      <c r="D601" s="8" t="s">
        <v>2840</v>
      </c>
      <c r="E601" s="8" t="s">
        <v>2841</v>
      </c>
      <c r="F601" s="8" t="s">
        <v>2819</v>
      </c>
      <c r="G601" s="8" t="s">
        <v>2842</v>
      </c>
      <c r="H601" s="8" t="s">
        <v>2821</v>
      </c>
      <c r="I601" s="8" t="s">
        <v>2843</v>
      </c>
      <c r="J601" s="8" t="s">
        <v>43</v>
      </c>
      <c r="K601" s="8" t="s">
        <v>1029</v>
      </c>
      <c r="L601" s="6"/>
      <c r="M601" s="7" t="s">
        <v>43</v>
      </c>
      <c r="N601" s="7"/>
      <c r="O601" s="7"/>
      <c r="P601" s="6" t="s">
        <v>44</v>
      </c>
      <c r="Q601" s="6"/>
      <c r="R601" t="str">
        <f>HYPERLINK("https://docs.wto.org/imrd/directdoc.asp?DDFDocuments/t/G/TBTN24/BDI450A3.docx", "https://docs.wto.org/imrd/directdoc.asp?DDFDocuments/t/G/TBTN24/BDI450A3.docx")</f>
        <v>https://docs.wto.org/imrd/directdoc.asp?DDFDocuments/t/G/TBTN24/BDI450A3.docx</v>
      </c>
      <c r="S601" t="str">
        <f>HYPERLINK("https://docs.wto.org/imrd/directdoc.asp?DDFDocuments/u/G/TBTN24/BDI450A3.docx", "https://docs.wto.org/imrd/directdoc.asp?DDFDocuments/u/G/TBTN24/BDI450A3.docx")</f>
        <v>https://docs.wto.org/imrd/directdoc.asp?DDFDocuments/u/G/TBTN24/BDI450A3.docx</v>
      </c>
      <c r="T601" t="str">
        <f>HYPERLINK("https://docs.wto.org/imrd/directdoc.asp?DDFDocuments/v/G/TBTN24/BDI450A3.docx", "https://docs.wto.org/imrd/directdoc.asp?DDFDocuments/v/G/TBTN24/BDI450A3.docx")</f>
        <v>https://docs.wto.org/imrd/directdoc.asp?DDFDocuments/v/G/TBTN24/BDI450A3.docx</v>
      </c>
      <c r="U601" t="s">
        <v>64</v>
      </c>
      <c r="V601" t="s">
        <v>46</v>
      </c>
      <c r="W601" t="s">
        <v>46</v>
      </c>
      <c r="X601" t="s">
        <v>46</v>
      </c>
      <c r="Y601" t="s">
        <v>46</v>
      </c>
      <c r="Z601" t="s">
        <v>46</v>
      </c>
      <c r="AA601" t="s">
        <v>46</v>
      </c>
      <c r="AB601" s="2" t="s">
        <v>43</v>
      </c>
      <c r="AC601" t="s">
        <v>43</v>
      </c>
      <c r="AD601" t="s">
        <v>43</v>
      </c>
      <c r="AE601" t="s">
        <v>43</v>
      </c>
      <c r="AF601" t="s">
        <v>43</v>
      </c>
      <c r="AG601" t="s">
        <v>43</v>
      </c>
      <c r="AH601" s="2" t="s">
        <v>43</v>
      </c>
    </row>
    <row r="602" spans="1:34" ht="90">
      <c r="A602" s="6" t="s">
        <v>390</v>
      </c>
      <c r="B602" s="7">
        <v>46064</v>
      </c>
      <c r="C602" s="9" t="str">
        <f>HYPERLINK("https://eping.wto.org/en/Search?viewData= G/TBT/N/BDI/451/Add.3, G/TBT/N/KEN/1556/Add.3, G/TBT/N/RWA/986/Add.3, G/TBT/N/TZA/1087/Add.3, G/TBT/N/UGA/1901/Add.3"," G/TBT/N/BDI/451/Add.3, G/TBT/N/KEN/1556/Add.3, G/TBT/N/RWA/986/Add.3, G/TBT/N/TZA/1087/Add.3, G/TBT/N/UGA/1901/Add.3")</f>
        <v xml:space="preserve"> G/TBT/N/BDI/451/Add.3, G/TBT/N/KEN/1556/Add.3, G/TBT/N/RWA/986/Add.3, G/TBT/N/TZA/1087/Add.3, G/TBT/N/UGA/1901/Add.3</v>
      </c>
      <c r="D602" s="8" t="s">
        <v>2817</v>
      </c>
      <c r="E602" s="8" t="s">
        <v>2818</v>
      </c>
      <c r="F602" s="8" t="s">
        <v>2819</v>
      </c>
      <c r="G602" s="8" t="s">
        <v>2820</v>
      </c>
      <c r="H602" s="8" t="s">
        <v>2821</v>
      </c>
      <c r="I602" s="8" t="s">
        <v>2822</v>
      </c>
      <c r="J602" s="8" t="s">
        <v>43</v>
      </c>
      <c r="K602" s="8" t="s">
        <v>1029</v>
      </c>
      <c r="L602" s="6"/>
      <c r="M602" s="7" t="s">
        <v>43</v>
      </c>
      <c r="N602" s="7"/>
      <c r="O602" s="7"/>
      <c r="P602" s="6" t="s">
        <v>44</v>
      </c>
      <c r="Q602" s="6"/>
      <c r="R602" t="str">
        <f>HYPERLINK("https://docs.wto.org/imrd/directdoc.asp?DDFDocuments/t/G/TBTN24/BDI451A3.docx", "https://docs.wto.org/imrd/directdoc.asp?DDFDocuments/t/G/TBTN24/BDI451A3.docx")</f>
        <v>https://docs.wto.org/imrd/directdoc.asp?DDFDocuments/t/G/TBTN24/BDI451A3.docx</v>
      </c>
      <c r="S602" t="str">
        <f>HYPERLINK("https://docs.wto.org/imrd/directdoc.asp?DDFDocuments/u/G/TBTN24/BDI451A3.docx", "https://docs.wto.org/imrd/directdoc.asp?DDFDocuments/u/G/TBTN24/BDI451A3.docx")</f>
        <v>https://docs.wto.org/imrd/directdoc.asp?DDFDocuments/u/G/TBTN24/BDI451A3.docx</v>
      </c>
      <c r="T602" t="str">
        <f>HYPERLINK("https://docs.wto.org/imrd/directdoc.asp?DDFDocuments/v/G/TBTN24/BDI451A3.docx", "https://docs.wto.org/imrd/directdoc.asp?DDFDocuments/v/G/TBTN24/BDI451A3.docx")</f>
        <v>https://docs.wto.org/imrd/directdoc.asp?DDFDocuments/v/G/TBTN24/BDI451A3.docx</v>
      </c>
      <c r="U602" t="s">
        <v>64</v>
      </c>
      <c r="V602" t="s">
        <v>46</v>
      </c>
      <c r="W602" t="s">
        <v>46</v>
      </c>
      <c r="X602" t="s">
        <v>46</v>
      </c>
      <c r="Y602" t="s">
        <v>46</v>
      </c>
      <c r="Z602" t="s">
        <v>46</v>
      </c>
      <c r="AA602" t="s">
        <v>46</v>
      </c>
      <c r="AB602" s="2" t="s">
        <v>43</v>
      </c>
      <c r="AC602" t="s">
        <v>43</v>
      </c>
      <c r="AD602" t="s">
        <v>43</v>
      </c>
      <c r="AE602" t="s">
        <v>43</v>
      </c>
      <c r="AF602" t="s">
        <v>43</v>
      </c>
      <c r="AG602" t="s">
        <v>43</v>
      </c>
      <c r="AH602" s="2" t="s">
        <v>43</v>
      </c>
    </row>
    <row r="603" spans="1:34" ht="105">
      <c r="A603" s="6" t="s">
        <v>509</v>
      </c>
      <c r="B603" s="7">
        <v>46064</v>
      </c>
      <c r="C603" s="9" t="str">
        <f>HYPERLINK("https://eping.wto.org/en/Search?viewData= G/SPS/N/BDI/30/Add.3, G/SPS/N/KEN/186/Add.3, G/SPS/N/RWA/23/Add.3, G/SPS/N/TZA/224/Add.3, G/SPS/N/UGA/226/Add.3"," G/SPS/N/BDI/30/Add.3, G/SPS/N/KEN/186/Add.3, G/SPS/N/RWA/23/Add.3, G/SPS/N/TZA/224/Add.3, G/SPS/N/UGA/226/Add.3")</f>
        <v xml:space="preserve"> G/SPS/N/BDI/30/Add.3, G/SPS/N/KEN/186/Add.3, G/SPS/N/RWA/23/Add.3, G/SPS/N/TZA/224/Add.3, G/SPS/N/UGA/226/Add.3</v>
      </c>
      <c r="D603" s="8" t="s">
        <v>2748</v>
      </c>
      <c r="E603" s="8" t="s">
        <v>2844</v>
      </c>
      <c r="F603" s="8" t="s">
        <v>2750</v>
      </c>
      <c r="G603" s="8" t="s">
        <v>2751</v>
      </c>
      <c r="H603" s="8" t="s">
        <v>2752</v>
      </c>
      <c r="I603" s="8" t="s">
        <v>58</v>
      </c>
      <c r="J603" s="8" t="s">
        <v>43</v>
      </c>
      <c r="K603" s="8" t="s">
        <v>2845</v>
      </c>
      <c r="L603" s="6"/>
      <c r="M603" s="7" t="s">
        <v>43</v>
      </c>
      <c r="N603" s="7"/>
      <c r="O603" s="7"/>
      <c r="P603" s="6" t="s">
        <v>44</v>
      </c>
      <c r="Q603" s="6"/>
      <c r="R603" t="str">
        <f>HYPERLINK("https://docs.wto.org/imrd/directdoc.asp?DDFDocuments/t/G/SPS/NBDI30A3.docx", "https://docs.wto.org/imrd/directdoc.asp?DDFDocuments/t/G/SPS/NBDI30A3.docx")</f>
        <v>https://docs.wto.org/imrd/directdoc.asp?DDFDocuments/t/G/SPS/NBDI30A3.docx</v>
      </c>
      <c r="S603" t="str">
        <f>HYPERLINK("https://docs.wto.org/imrd/directdoc.asp?DDFDocuments/u/G/SPS/NBDI30A3.docx", "https://docs.wto.org/imrd/directdoc.asp?DDFDocuments/u/G/SPS/NBDI30A3.docx")</f>
        <v>https://docs.wto.org/imrd/directdoc.asp?DDFDocuments/u/G/SPS/NBDI30A3.docx</v>
      </c>
      <c r="T603" t="str">
        <f>HYPERLINK("https://docs.wto.org/imrd/directdoc.asp?DDFDocuments/v/G/SPS/NBDI30A3.docx", "https://docs.wto.org/imrd/directdoc.asp?DDFDocuments/v/G/SPS/NBDI30A3.docx")</f>
        <v>https://docs.wto.org/imrd/directdoc.asp?DDFDocuments/v/G/SPS/NBDI30A3.docx</v>
      </c>
      <c r="U603" t="s">
        <v>43</v>
      </c>
      <c r="V603" t="s">
        <v>43</v>
      </c>
      <c r="W603" t="s">
        <v>43</v>
      </c>
      <c r="X603" t="s">
        <v>43</v>
      </c>
      <c r="Y603" t="s">
        <v>43</v>
      </c>
      <c r="Z603" t="s">
        <v>43</v>
      </c>
      <c r="AA603" t="s">
        <v>43</v>
      </c>
      <c r="AB603" s="2" t="s">
        <v>43</v>
      </c>
      <c r="AC603" t="s">
        <v>43</v>
      </c>
      <c r="AD603" t="s">
        <v>43</v>
      </c>
      <c r="AE603" t="s">
        <v>43</v>
      </c>
      <c r="AF603" t="s">
        <v>43</v>
      </c>
      <c r="AG603" t="s">
        <v>43</v>
      </c>
      <c r="AH603" s="2" t="s">
        <v>43</v>
      </c>
    </row>
    <row r="604" spans="1:34" ht="90">
      <c r="A604" s="6" t="s">
        <v>108</v>
      </c>
      <c r="B604" s="7">
        <v>46064</v>
      </c>
      <c r="C604" s="9" t="str">
        <f>HYPERLINK("https://eping.wto.org/en/Search?viewData= G/TBT/N/BDI/280/Add.2, G/TBT/N/KEN/1314/Add.2, G/TBT/N/RWA/714/Add.2, G/TBT/N/TZA/833/Add.2, G/TBT/N/UGA/1688/Add.2"," G/TBT/N/BDI/280/Add.2, G/TBT/N/KEN/1314/Add.2, G/TBT/N/RWA/714/Add.2, G/TBT/N/TZA/833/Add.2, G/TBT/N/UGA/1688/Add.2")</f>
        <v xml:space="preserve"> G/TBT/N/BDI/280/Add.2, G/TBT/N/KEN/1314/Add.2, G/TBT/N/RWA/714/Add.2, G/TBT/N/TZA/833/Add.2, G/TBT/N/UGA/1688/Add.2</v>
      </c>
      <c r="D604" s="8" t="s">
        <v>2823</v>
      </c>
      <c r="E604" s="8" t="s">
        <v>2824</v>
      </c>
      <c r="F604" s="8" t="s">
        <v>2825</v>
      </c>
      <c r="G604" s="8" t="s">
        <v>43</v>
      </c>
      <c r="H604" s="8" t="s">
        <v>2826</v>
      </c>
      <c r="I604" s="8" t="s">
        <v>2827</v>
      </c>
      <c r="J604" s="8" t="s">
        <v>43</v>
      </c>
      <c r="K604" s="8" t="s">
        <v>1029</v>
      </c>
      <c r="L604" s="6"/>
      <c r="M604" s="7" t="s">
        <v>43</v>
      </c>
      <c r="N604" s="7"/>
      <c r="O604" s="7"/>
      <c r="P604" s="6" t="s">
        <v>44</v>
      </c>
      <c r="Q604" s="6"/>
      <c r="R604" t="str">
        <f>HYPERLINK("https://docs.wto.org/imrd/directdoc.asp?DDFDocuments/t/G/TBTN22/BDI280A2.docx", "https://docs.wto.org/imrd/directdoc.asp?DDFDocuments/t/G/TBTN22/BDI280A2.docx")</f>
        <v>https://docs.wto.org/imrd/directdoc.asp?DDFDocuments/t/G/TBTN22/BDI280A2.docx</v>
      </c>
      <c r="S604" t="str">
        <f>HYPERLINK("https://docs.wto.org/imrd/directdoc.asp?DDFDocuments/u/G/TBTN22/BDI280A2.docx", "https://docs.wto.org/imrd/directdoc.asp?DDFDocuments/u/G/TBTN22/BDI280A2.docx")</f>
        <v>https://docs.wto.org/imrd/directdoc.asp?DDFDocuments/u/G/TBTN22/BDI280A2.docx</v>
      </c>
      <c r="T604" t="str">
        <f>HYPERLINK("https://docs.wto.org/imrd/directdoc.asp?DDFDocuments/v/G/TBTN22/BDI280A2.docx", "https://docs.wto.org/imrd/directdoc.asp?DDFDocuments/v/G/TBTN22/BDI280A2.docx")</f>
        <v>https://docs.wto.org/imrd/directdoc.asp?DDFDocuments/v/G/TBTN22/BDI280A2.docx</v>
      </c>
      <c r="U604" t="s">
        <v>64</v>
      </c>
      <c r="V604" t="s">
        <v>46</v>
      </c>
      <c r="W604" t="s">
        <v>64</v>
      </c>
      <c r="X604" t="s">
        <v>46</v>
      </c>
      <c r="Y604" t="s">
        <v>46</v>
      </c>
      <c r="Z604" t="s">
        <v>46</v>
      </c>
      <c r="AA604" t="s">
        <v>46</v>
      </c>
      <c r="AB604" s="2" t="s">
        <v>43</v>
      </c>
      <c r="AC604" t="s">
        <v>43</v>
      </c>
      <c r="AD604" t="s">
        <v>43</v>
      </c>
      <c r="AE604" t="s">
        <v>43</v>
      </c>
      <c r="AF604" t="s">
        <v>43</v>
      </c>
      <c r="AG604" t="s">
        <v>43</v>
      </c>
      <c r="AH604" s="2" t="s">
        <v>43</v>
      </c>
    </row>
    <row r="605" spans="1:34" ht="90">
      <c r="A605" s="6" t="s">
        <v>108</v>
      </c>
      <c r="B605" s="7">
        <v>46064</v>
      </c>
      <c r="C605" s="9" t="str">
        <f>HYPERLINK("https://eping.wto.org/en/Search?viewData= G/TBT/N/BDI/216/Add.3, G/TBT/N/KEN/1225/Add.3, G/TBT/N/RWA/642/Add.3, G/TBT/N/TZA/717/Add.3, G/TBT/N/UGA/1549/Add.3"," G/TBT/N/BDI/216/Add.3, G/TBT/N/KEN/1225/Add.3, G/TBT/N/RWA/642/Add.3, G/TBT/N/TZA/717/Add.3, G/TBT/N/UGA/1549/Add.3")</f>
        <v xml:space="preserve"> G/TBT/N/BDI/216/Add.3, G/TBT/N/KEN/1225/Add.3, G/TBT/N/RWA/642/Add.3, G/TBT/N/TZA/717/Add.3, G/TBT/N/UGA/1549/Add.3</v>
      </c>
      <c r="D605" s="8" t="s">
        <v>2835</v>
      </c>
      <c r="E605" s="8" t="s">
        <v>2836</v>
      </c>
      <c r="F605" s="8" t="s">
        <v>2837</v>
      </c>
      <c r="G605" s="8" t="s">
        <v>43</v>
      </c>
      <c r="H605" s="8" t="s">
        <v>39</v>
      </c>
      <c r="I605" s="8" t="s">
        <v>2846</v>
      </c>
      <c r="J605" s="8" t="s">
        <v>43</v>
      </c>
      <c r="K605" s="8" t="s">
        <v>2847</v>
      </c>
      <c r="L605" s="6"/>
      <c r="M605" s="7" t="s">
        <v>43</v>
      </c>
      <c r="N605" s="7"/>
      <c r="O605" s="7"/>
      <c r="P605" s="6" t="s">
        <v>44</v>
      </c>
      <c r="Q605" s="6"/>
      <c r="R605" t="str">
        <f>HYPERLINK("https://docs.wto.org/imrd/directdoc.asp?DDFDocuments/t/G/TBTN22/BDI216A3.docx", "https://docs.wto.org/imrd/directdoc.asp?DDFDocuments/t/G/TBTN22/BDI216A3.docx")</f>
        <v>https://docs.wto.org/imrd/directdoc.asp?DDFDocuments/t/G/TBTN22/BDI216A3.docx</v>
      </c>
      <c r="S605" t="str">
        <f>HYPERLINK("https://docs.wto.org/imrd/directdoc.asp?DDFDocuments/u/G/TBTN22/BDI216A3.docx", "https://docs.wto.org/imrd/directdoc.asp?DDFDocuments/u/G/TBTN22/BDI216A3.docx")</f>
        <v>https://docs.wto.org/imrd/directdoc.asp?DDFDocuments/u/G/TBTN22/BDI216A3.docx</v>
      </c>
      <c r="T605" t="str">
        <f>HYPERLINK("https://docs.wto.org/imrd/directdoc.asp?DDFDocuments/v/G/TBTN22/BDI216A3.docx", "https://docs.wto.org/imrd/directdoc.asp?DDFDocuments/v/G/TBTN22/BDI216A3.docx")</f>
        <v>https://docs.wto.org/imrd/directdoc.asp?DDFDocuments/v/G/TBTN22/BDI216A3.docx</v>
      </c>
      <c r="U605" t="s">
        <v>64</v>
      </c>
      <c r="V605" t="s">
        <v>46</v>
      </c>
      <c r="W605" t="s">
        <v>46</v>
      </c>
      <c r="X605" t="s">
        <v>46</v>
      </c>
      <c r="Y605" t="s">
        <v>46</v>
      </c>
      <c r="Z605" t="s">
        <v>46</v>
      </c>
      <c r="AA605" t="s">
        <v>46</v>
      </c>
      <c r="AB605" s="2" t="s">
        <v>43</v>
      </c>
      <c r="AC605" t="s">
        <v>43</v>
      </c>
      <c r="AD605" t="s">
        <v>43</v>
      </c>
      <c r="AE605" t="s">
        <v>43</v>
      </c>
      <c r="AF605" t="s">
        <v>43</v>
      </c>
      <c r="AG605" t="s">
        <v>43</v>
      </c>
      <c r="AH605" s="2" t="s">
        <v>43</v>
      </c>
    </row>
    <row r="606" spans="1:34" ht="285">
      <c r="A606" s="6" t="s">
        <v>1777</v>
      </c>
      <c r="B606" s="7">
        <v>46064</v>
      </c>
      <c r="C606" s="9" t="str">
        <f>HYPERLINK("https://eping.wto.org/en/Search?viewData= G/TBT/N/DNK/145"," G/TBT/N/DNK/145")</f>
        <v xml:space="preserve"> G/TBT/N/DNK/145</v>
      </c>
      <c r="D606" s="8" t="s">
        <v>2848</v>
      </c>
      <c r="E606" s="8" t="s">
        <v>2849</v>
      </c>
      <c r="F606" s="8" t="s">
        <v>2850</v>
      </c>
      <c r="G606" s="8" t="s">
        <v>43</v>
      </c>
      <c r="H606" s="8" t="s">
        <v>2851</v>
      </c>
      <c r="I606" s="8" t="s">
        <v>1783</v>
      </c>
      <c r="J606" s="8" t="s">
        <v>43</v>
      </c>
      <c r="K606" s="8" t="s">
        <v>43</v>
      </c>
      <c r="L606" s="6"/>
      <c r="M606" s="7">
        <v>46124</v>
      </c>
      <c r="N606" s="7">
        <v>46174</v>
      </c>
      <c r="O606" s="7">
        <v>46204</v>
      </c>
      <c r="P606" s="6" t="s">
        <v>62</v>
      </c>
      <c r="Q606" s="8" t="s">
        <v>2852</v>
      </c>
      <c r="R606" t="str">
        <f>HYPERLINK("https://docs.wto.org/imrd/directdoc.asp?DDFDocuments/t/G/TBTN26/DNK145.docx", "https://docs.wto.org/imrd/directdoc.asp?DDFDocuments/t/G/TBTN26/DNK145.docx")</f>
        <v>https://docs.wto.org/imrd/directdoc.asp?DDFDocuments/t/G/TBTN26/DNK145.docx</v>
      </c>
      <c r="S606" t="str">
        <f>HYPERLINK("https://docs.wto.org/imrd/directdoc.asp?DDFDocuments/u/G/TBTN26/DNK145.docx", "https://docs.wto.org/imrd/directdoc.asp?DDFDocuments/u/G/TBTN26/DNK145.docx")</f>
        <v>https://docs.wto.org/imrd/directdoc.asp?DDFDocuments/u/G/TBTN26/DNK145.docx</v>
      </c>
      <c r="T606" t="str">
        <f>HYPERLINK("https://docs.wto.org/imrd/directdoc.asp?DDFDocuments/v/G/TBTN26/DNK145.docx", "https://docs.wto.org/imrd/directdoc.asp?DDFDocuments/v/G/TBTN26/DNK145.docx")</f>
        <v>https://docs.wto.org/imrd/directdoc.asp?DDFDocuments/v/G/TBTN26/DNK145.docx</v>
      </c>
      <c r="U606" t="s">
        <v>64</v>
      </c>
      <c r="V606" t="s">
        <v>46</v>
      </c>
      <c r="W606" t="s">
        <v>46</v>
      </c>
      <c r="X606" t="s">
        <v>46</v>
      </c>
      <c r="Y606" t="s">
        <v>46</v>
      </c>
      <c r="Z606" t="s">
        <v>46</v>
      </c>
      <c r="AA606" t="s">
        <v>46</v>
      </c>
      <c r="AB606" s="2" t="s">
        <v>2853</v>
      </c>
      <c r="AC606" t="s">
        <v>43</v>
      </c>
      <c r="AD606" t="s">
        <v>43</v>
      </c>
      <c r="AE606" t="s">
        <v>43</v>
      </c>
      <c r="AF606" t="s">
        <v>43</v>
      </c>
      <c r="AG606" t="s">
        <v>43</v>
      </c>
      <c r="AH606" s="2" t="s">
        <v>43</v>
      </c>
    </row>
    <row r="607" spans="1:34" ht="90">
      <c r="A607" s="6" t="s">
        <v>124</v>
      </c>
      <c r="B607" s="7">
        <v>46064</v>
      </c>
      <c r="C607" s="9" t="str">
        <f>HYPERLINK("https://eping.wto.org/en/Search?viewData= G/TBT/N/BDI/451/Add.3, G/TBT/N/KEN/1556/Add.3, G/TBT/N/RWA/986/Add.3, G/TBT/N/TZA/1087/Add.3, G/TBT/N/UGA/1901/Add.3"," G/TBT/N/BDI/451/Add.3, G/TBT/N/KEN/1556/Add.3, G/TBT/N/RWA/986/Add.3, G/TBT/N/TZA/1087/Add.3, G/TBT/N/UGA/1901/Add.3")</f>
        <v xml:space="preserve"> G/TBT/N/BDI/451/Add.3, G/TBT/N/KEN/1556/Add.3, G/TBT/N/RWA/986/Add.3, G/TBT/N/TZA/1087/Add.3, G/TBT/N/UGA/1901/Add.3</v>
      </c>
      <c r="D607" s="8" t="s">
        <v>2817</v>
      </c>
      <c r="E607" s="8" t="s">
        <v>2818</v>
      </c>
      <c r="F607" s="8" t="s">
        <v>2819</v>
      </c>
      <c r="G607" s="8" t="s">
        <v>2820</v>
      </c>
      <c r="H607" s="8" t="s">
        <v>2821</v>
      </c>
      <c r="I607" s="8" t="s">
        <v>2854</v>
      </c>
      <c r="J607" s="8" t="s">
        <v>43</v>
      </c>
      <c r="K607" s="8" t="s">
        <v>1029</v>
      </c>
      <c r="L607" s="6"/>
      <c r="M607" s="7" t="s">
        <v>43</v>
      </c>
      <c r="N607" s="7"/>
      <c r="O607" s="7"/>
      <c r="P607" s="6" t="s">
        <v>44</v>
      </c>
      <c r="Q607" s="6"/>
      <c r="R607" t="str">
        <f>HYPERLINK("https://docs.wto.org/imrd/directdoc.asp?DDFDocuments/t/G/TBTN24/BDI451A3.docx", "https://docs.wto.org/imrd/directdoc.asp?DDFDocuments/t/G/TBTN24/BDI451A3.docx")</f>
        <v>https://docs.wto.org/imrd/directdoc.asp?DDFDocuments/t/G/TBTN24/BDI451A3.docx</v>
      </c>
      <c r="S607" t="str">
        <f>HYPERLINK("https://docs.wto.org/imrd/directdoc.asp?DDFDocuments/u/G/TBTN24/BDI451A3.docx", "https://docs.wto.org/imrd/directdoc.asp?DDFDocuments/u/G/TBTN24/BDI451A3.docx")</f>
        <v>https://docs.wto.org/imrd/directdoc.asp?DDFDocuments/u/G/TBTN24/BDI451A3.docx</v>
      </c>
      <c r="T607" t="str">
        <f>HYPERLINK("https://docs.wto.org/imrd/directdoc.asp?DDFDocuments/v/G/TBTN24/BDI451A3.docx", "https://docs.wto.org/imrd/directdoc.asp?DDFDocuments/v/G/TBTN24/BDI451A3.docx")</f>
        <v>https://docs.wto.org/imrd/directdoc.asp?DDFDocuments/v/G/TBTN24/BDI451A3.docx</v>
      </c>
      <c r="U607" t="s">
        <v>64</v>
      </c>
      <c r="V607" t="s">
        <v>46</v>
      </c>
      <c r="W607" t="s">
        <v>46</v>
      </c>
      <c r="X607" t="s">
        <v>46</v>
      </c>
      <c r="Y607" t="s">
        <v>46</v>
      </c>
      <c r="Z607" t="s">
        <v>46</v>
      </c>
      <c r="AA607" t="s">
        <v>46</v>
      </c>
      <c r="AB607" s="2" t="s">
        <v>43</v>
      </c>
      <c r="AC607" t="s">
        <v>43</v>
      </c>
      <c r="AD607" t="s">
        <v>43</v>
      </c>
      <c r="AE607" t="s">
        <v>43</v>
      </c>
      <c r="AF607" t="s">
        <v>43</v>
      </c>
      <c r="AG607" t="s">
        <v>43</v>
      </c>
      <c r="AH607" s="2" t="s">
        <v>43</v>
      </c>
    </row>
    <row r="608" spans="1:34" ht="90">
      <c r="A608" s="6" t="s">
        <v>390</v>
      </c>
      <c r="B608" s="7">
        <v>46064</v>
      </c>
      <c r="C608" s="9" t="str">
        <f>HYPERLINK("https://eping.wto.org/en/Search?viewData= G/TBT/N/BDI/452/Add.3, G/TBT/N/KEN/1557/Add.3, G/TBT/N/RWA/987/Add.3, G/TBT/N/TZA/1088/Add.3, G/TBT/N/UGA/1902/Add.3"," G/TBT/N/BDI/452/Add.3, G/TBT/N/KEN/1557/Add.3, G/TBT/N/RWA/987/Add.3, G/TBT/N/TZA/1088/Add.3, G/TBT/N/UGA/1902/Add.3")</f>
        <v xml:space="preserve"> G/TBT/N/BDI/452/Add.3, G/TBT/N/KEN/1557/Add.3, G/TBT/N/RWA/987/Add.3, G/TBT/N/TZA/1088/Add.3, G/TBT/N/UGA/1902/Add.3</v>
      </c>
      <c r="D608" s="8" t="s">
        <v>2855</v>
      </c>
      <c r="E608" s="8" t="s">
        <v>2856</v>
      </c>
      <c r="F608" s="8" t="s">
        <v>2819</v>
      </c>
      <c r="G608" s="8" t="s">
        <v>2820</v>
      </c>
      <c r="H608" s="8" t="s">
        <v>2821</v>
      </c>
      <c r="I608" s="8" t="s">
        <v>2822</v>
      </c>
      <c r="J608" s="8" t="s">
        <v>43</v>
      </c>
      <c r="K608" s="8" t="s">
        <v>1029</v>
      </c>
      <c r="L608" s="6"/>
      <c r="M608" s="7" t="s">
        <v>43</v>
      </c>
      <c r="N608" s="7"/>
      <c r="O608" s="7"/>
      <c r="P608" s="6" t="s">
        <v>44</v>
      </c>
      <c r="Q608" s="6"/>
      <c r="R608" t="str">
        <f>HYPERLINK("https://docs.wto.org/imrd/directdoc.asp?DDFDocuments/t/G/TBTN24/BDI452A3.docx", "https://docs.wto.org/imrd/directdoc.asp?DDFDocuments/t/G/TBTN24/BDI452A3.docx")</f>
        <v>https://docs.wto.org/imrd/directdoc.asp?DDFDocuments/t/G/TBTN24/BDI452A3.docx</v>
      </c>
      <c r="S608" t="str">
        <f>HYPERLINK("https://docs.wto.org/imrd/directdoc.asp?DDFDocuments/u/G/TBTN24/BDI452A3.docx", "https://docs.wto.org/imrd/directdoc.asp?DDFDocuments/u/G/TBTN24/BDI452A3.docx")</f>
        <v>https://docs.wto.org/imrd/directdoc.asp?DDFDocuments/u/G/TBTN24/BDI452A3.docx</v>
      </c>
      <c r="T608" t="str">
        <f>HYPERLINK("https://docs.wto.org/imrd/directdoc.asp?DDFDocuments/v/G/TBTN24/BDI452A3.docx", "https://docs.wto.org/imrd/directdoc.asp?DDFDocuments/v/G/TBTN24/BDI452A3.docx")</f>
        <v>https://docs.wto.org/imrd/directdoc.asp?DDFDocuments/v/G/TBTN24/BDI452A3.docx</v>
      </c>
      <c r="U608" t="s">
        <v>64</v>
      </c>
      <c r="V608" t="s">
        <v>46</v>
      </c>
      <c r="W608" t="s">
        <v>46</v>
      </c>
      <c r="X608" t="s">
        <v>46</v>
      </c>
      <c r="Y608" t="s">
        <v>46</v>
      </c>
      <c r="Z608" t="s">
        <v>46</v>
      </c>
      <c r="AA608" t="s">
        <v>46</v>
      </c>
      <c r="AB608" s="2" t="s">
        <v>43</v>
      </c>
      <c r="AC608" t="s">
        <v>43</v>
      </c>
      <c r="AD608" t="s">
        <v>43</v>
      </c>
      <c r="AE608" t="s">
        <v>43</v>
      </c>
      <c r="AF608" t="s">
        <v>43</v>
      </c>
      <c r="AG608" t="s">
        <v>43</v>
      </c>
      <c r="AH608" s="2" t="s">
        <v>43</v>
      </c>
    </row>
    <row r="609" spans="1:34" ht="90">
      <c r="A609" s="6" t="s">
        <v>509</v>
      </c>
      <c r="B609" s="7">
        <v>46064</v>
      </c>
      <c r="C609" s="9" t="str">
        <f>HYPERLINK("https://eping.wto.org/en/Search?viewData= G/TBT/N/BDI/452/Add.3, G/TBT/N/KEN/1557/Add.3, G/TBT/N/RWA/987/Add.3, G/TBT/N/TZA/1088/Add.3, G/TBT/N/UGA/1902/Add.3"," G/TBT/N/BDI/452/Add.3, G/TBT/N/KEN/1557/Add.3, G/TBT/N/RWA/987/Add.3, G/TBT/N/TZA/1088/Add.3, G/TBT/N/UGA/1902/Add.3")</f>
        <v xml:space="preserve"> G/TBT/N/BDI/452/Add.3, G/TBT/N/KEN/1557/Add.3, G/TBT/N/RWA/987/Add.3, G/TBT/N/TZA/1088/Add.3, G/TBT/N/UGA/1902/Add.3</v>
      </c>
      <c r="D609" s="8" t="s">
        <v>2855</v>
      </c>
      <c r="E609" s="8" t="s">
        <v>2856</v>
      </c>
      <c r="F609" s="8" t="s">
        <v>2819</v>
      </c>
      <c r="G609" s="8" t="s">
        <v>2820</v>
      </c>
      <c r="H609" s="8" t="s">
        <v>2821</v>
      </c>
      <c r="I609" s="8" t="s">
        <v>2822</v>
      </c>
      <c r="J609" s="8" t="s">
        <v>43</v>
      </c>
      <c r="K609" s="8" t="s">
        <v>1029</v>
      </c>
      <c r="L609" s="6"/>
      <c r="M609" s="7" t="s">
        <v>43</v>
      </c>
      <c r="N609" s="7"/>
      <c r="O609" s="7"/>
      <c r="P609" s="6" t="s">
        <v>44</v>
      </c>
      <c r="Q609" s="6"/>
      <c r="R609" t="str">
        <f>HYPERLINK("https://docs.wto.org/imrd/directdoc.asp?DDFDocuments/t/G/TBTN24/BDI452A3.docx", "https://docs.wto.org/imrd/directdoc.asp?DDFDocuments/t/G/TBTN24/BDI452A3.docx")</f>
        <v>https://docs.wto.org/imrd/directdoc.asp?DDFDocuments/t/G/TBTN24/BDI452A3.docx</v>
      </c>
      <c r="S609" t="str">
        <f>HYPERLINK("https://docs.wto.org/imrd/directdoc.asp?DDFDocuments/u/G/TBTN24/BDI452A3.docx", "https://docs.wto.org/imrd/directdoc.asp?DDFDocuments/u/G/TBTN24/BDI452A3.docx")</f>
        <v>https://docs.wto.org/imrd/directdoc.asp?DDFDocuments/u/G/TBTN24/BDI452A3.docx</v>
      </c>
      <c r="T609" t="str">
        <f>HYPERLINK("https://docs.wto.org/imrd/directdoc.asp?DDFDocuments/v/G/TBTN24/BDI452A3.docx", "https://docs.wto.org/imrd/directdoc.asp?DDFDocuments/v/G/TBTN24/BDI452A3.docx")</f>
        <v>https://docs.wto.org/imrd/directdoc.asp?DDFDocuments/v/G/TBTN24/BDI452A3.docx</v>
      </c>
      <c r="U609" t="s">
        <v>64</v>
      </c>
      <c r="V609" t="s">
        <v>46</v>
      </c>
      <c r="W609" t="s">
        <v>46</v>
      </c>
      <c r="X609" t="s">
        <v>46</v>
      </c>
      <c r="Y609" t="s">
        <v>46</v>
      </c>
      <c r="Z609" t="s">
        <v>46</v>
      </c>
      <c r="AA609" t="s">
        <v>46</v>
      </c>
      <c r="AB609" s="2" t="s">
        <v>43</v>
      </c>
      <c r="AC609" t="s">
        <v>43</v>
      </c>
      <c r="AD609" t="s">
        <v>43</v>
      </c>
      <c r="AE609" t="s">
        <v>43</v>
      </c>
      <c r="AF609" t="s">
        <v>43</v>
      </c>
      <c r="AG609" t="s">
        <v>43</v>
      </c>
      <c r="AH609" s="2" t="s">
        <v>43</v>
      </c>
    </row>
    <row r="610" spans="1:34" ht="90">
      <c r="A610" s="6" t="s">
        <v>108</v>
      </c>
      <c r="B610" s="7">
        <v>46064</v>
      </c>
      <c r="C610" s="9" t="str">
        <f>HYPERLINK("https://eping.wto.org/en/Search?viewData= G/TBT/N/BDI/285/Add.3, G/TBT/N/KEN/1319/Add.3, G/TBT/N/RWA/719/Add.3, G/TBT/N/TZA/838/Add.3, G/TBT/N/UGA/1693/Add.3"," G/TBT/N/BDI/285/Add.3, G/TBT/N/KEN/1319/Add.3, G/TBT/N/RWA/719/Add.3, G/TBT/N/TZA/838/Add.3, G/TBT/N/UGA/1693/Add.3")</f>
        <v xml:space="preserve"> G/TBT/N/BDI/285/Add.3, G/TBT/N/KEN/1319/Add.3, G/TBT/N/RWA/719/Add.3, G/TBT/N/TZA/838/Add.3, G/TBT/N/UGA/1693/Add.3</v>
      </c>
      <c r="D610" s="8" t="s">
        <v>2857</v>
      </c>
      <c r="E610" s="8" t="s">
        <v>2858</v>
      </c>
      <c r="F610" s="8" t="s">
        <v>2825</v>
      </c>
      <c r="G610" s="8" t="s">
        <v>43</v>
      </c>
      <c r="H610" s="8" t="s">
        <v>2826</v>
      </c>
      <c r="I610" s="8" t="s">
        <v>2827</v>
      </c>
      <c r="J610" s="8" t="s">
        <v>43</v>
      </c>
      <c r="K610" s="8" t="s">
        <v>1029</v>
      </c>
      <c r="L610" s="6"/>
      <c r="M610" s="7" t="s">
        <v>43</v>
      </c>
      <c r="N610" s="7"/>
      <c r="O610" s="7"/>
      <c r="P610" s="6" t="s">
        <v>44</v>
      </c>
      <c r="Q610" s="6"/>
      <c r="R610" t="str">
        <f>HYPERLINK("https://docs.wto.org/imrd/directdoc.asp?DDFDocuments/t/G/TBTN22/BDI285A3.docx", "https://docs.wto.org/imrd/directdoc.asp?DDFDocuments/t/G/TBTN22/BDI285A3.docx")</f>
        <v>https://docs.wto.org/imrd/directdoc.asp?DDFDocuments/t/G/TBTN22/BDI285A3.docx</v>
      </c>
      <c r="S610" t="str">
        <f>HYPERLINK("https://docs.wto.org/imrd/directdoc.asp?DDFDocuments/u/G/TBTN22/BDI285A3.docx", "https://docs.wto.org/imrd/directdoc.asp?DDFDocuments/u/G/TBTN22/BDI285A3.docx")</f>
        <v>https://docs.wto.org/imrd/directdoc.asp?DDFDocuments/u/G/TBTN22/BDI285A3.docx</v>
      </c>
      <c r="T610" t="str">
        <f>HYPERLINK("https://docs.wto.org/imrd/directdoc.asp?DDFDocuments/v/G/TBTN22/BDI285A3.docx", "https://docs.wto.org/imrd/directdoc.asp?DDFDocuments/v/G/TBTN22/BDI285A3.docx")</f>
        <v>https://docs.wto.org/imrd/directdoc.asp?DDFDocuments/v/G/TBTN22/BDI285A3.docx</v>
      </c>
      <c r="U610" t="s">
        <v>64</v>
      </c>
      <c r="V610" t="s">
        <v>46</v>
      </c>
      <c r="W610" t="s">
        <v>64</v>
      </c>
      <c r="X610" t="s">
        <v>46</v>
      </c>
      <c r="Y610" t="s">
        <v>46</v>
      </c>
      <c r="Z610" t="s">
        <v>46</v>
      </c>
      <c r="AA610" t="s">
        <v>46</v>
      </c>
      <c r="AB610" s="2" t="s">
        <v>43</v>
      </c>
      <c r="AC610" t="s">
        <v>43</v>
      </c>
      <c r="AD610" t="s">
        <v>43</v>
      </c>
      <c r="AE610" t="s">
        <v>43</v>
      </c>
      <c r="AF610" t="s">
        <v>43</v>
      </c>
      <c r="AG610" t="s">
        <v>43</v>
      </c>
      <c r="AH610" s="2" t="s">
        <v>43</v>
      </c>
    </row>
    <row r="611" spans="1:34" ht="90">
      <c r="A611" s="6" t="s">
        <v>124</v>
      </c>
      <c r="B611" s="7">
        <v>46064</v>
      </c>
      <c r="C611" s="9" t="str">
        <f>HYPERLINK("https://eping.wto.org/en/Search?viewData= G/TBT/N/BDI/454/Add.3, G/TBT/N/KEN/1559/Add.3, G/TBT/N/RWA/990/Add.3, G/TBT/N/TZA/1090/Add.3, G/TBT/N/UGA/1904/Add.3"," G/TBT/N/BDI/454/Add.3, G/TBT/N/KEN/1559/Add.3, G/TBT/N/RWA/990/Add.3, G/TBT/N/TZA/1090/Add.3, G/TBT/N/UGA/1904/Add.3")</f>
        <v xml:space="preserve"> G/TBT/N/BDI/454/Add.3, G/TBT/N/KEN/1559/Add.3, G/TBT/N/RWA/990/Add.3, G/TBT/N/TZA/1090/Add.3, G/TBT/N/UGA/1904/Add.3</v>
      </c>
      <c r="D611" s="8" t="s">
        <v>2859</v>
      </c>
      <c r="E611" s="8" t="s">
        <v>2860</v>
      </c>
      <c r="F611" s="8" t="s">
        <v>2819</v>
      </c>
      <c r="G611" s="8" t="s">
        <v>43</v>
      </c>
      <c r="H611" s="8" t="s">
        <v>2821</v>
      </c>
      <c r="I611" s="8" t="s">
        <v>2854</v>
      </c>
      <c r="J611" s="8" t="s">
        <v>43</v>
      </c>
      <c r="K611" s="8" t="s">
        <v>1029</v>
      </c>
      <c r="L611" s="6"/>
      <c r="M611" s="7" t="s">
        <v>43</v>
      </c>
      <c r="N611" s="7"/>
      <c r="O611" s="7"/>
      <c r="P611" s="6" t="s">
        <v>44</v>
      </c>
      <c r="Q611" s="6"/>
      <c r="R611" t="str">
        <f>HYPERLINK("https://docs.wto.org/imrd/directdoc.asp?DDFDocuments/t/G/TBTN24/BDI454A3.docx", "https://docs.wto.org/imrd/directdoc.asp?DDFDocuments/t/G/TBTN24/BDI454A3.docx")</f>
        <v>https://docs.wto.org/imrd/directdoc.asp?DDFDocuments/t/G/TBTN24/BDI454A3.docx</v>
      </c>
      <c r="S611" t="str">
        <f>HYPERLINK("https://docs.wto.org/imrd/directdoc.asp?DDFDocuments/u/G/TBTN24/BDI454A3.docx", "https://docs.wto.org/imrd/directdoc.asp?DDFDocuments/u/G/TBTN24/BDI454A3.docx")</f>
        <v>https://docs.wto.org/imrd/directdoc.asp?DDFDocuments/u/G/TBTN24/BDI454A3.docx</v>
      </c>
      <c r="T611" t="str">
        <f>HYPERLINK("https://docs.wto.org/imrd/directdoc.asp?DDFDocuments/v/G/TBTN24/BDI454A3.docx", "https://docs.wto.org/imrd/directdoc.asp?DDFDocuments/v/G/TBTN24/BDI454A3.docx")</f>
        <v>https://docs.wto.org/imrd/directdoc.asp?DDFDocuments/v/G/TBTN24/BDI454A3.docx</v>
      </c>
      <c r="U611" t="s">
        <v>64</v>
      </c>
      <c r="V611" t="s">
        <v>46</v>
      </c>
      <c r="W611" t="s">
        <v>46</v>
      </c>
      <c r="X611" t="s">
        <v>46</v>
      </c>
      <c r="Y611" t="s">
        <v>46</v>
      </c>
      <c r="Z611" t="s">
        <v>46</v>
      </c>
      <c r="AA611" t="s">
        <v>46</v>
      </c>
      <c r="AB611" s="2" t="s">
        <v>43</v>
      </c>
      <c r="AC611" t="s">
        <v>43</v>
      </c>
      <c r="AD611" t="s">
        <v>43</v>
      </c>
      <c r="AE611" t="s">
        <v>43</v>
      </c>
      <c r="AF611" t="s">
        <v>43</v>
      </c>
      <c r="AG611" t="s">
        <v>43</v>
      </c>
      <c r="AH611" s="2" t="s">
        <v>43</v>
      </c>
    </row>
    <row r="612" spans="1:34" ht="45">
      <c r="A612" s="6" t="s">
        <v>124</v>
      </c>
      <c r="B612" s="7">
        <v>46064</v>
      </c>
      <c r="C612" s="9" t="str">
        <f>HYPERLINK("https://eping.wto.org/en/Search?viewData= G/TBT/N/KEN/1982"," G/TBT/N/KEN/1982")</f>
        <v xml:space="preserve"> G/TBT/N/KEN/1982</v>
      </c>
      <c r="D612" s="8" t="s">
        <v>2861</v>
      </c>
      <c r="E612" s="8" t="s">
        <v>2862</v>
      </c>
      <c r="F612" s="8" t="s">
        <v>237</v>
      </c>
      <c r="G612" s="8" t="s">
        <v>43</v>
      </c>
      <c r="H612" s="8" t="s">
        <v>238</v>
      </c>
      <c r="I612" s="8" t="s">
        <v>2838</v>
      </c>
      <c r="J612" s="8" t="s">
        <v>43</v>
      </c>
      <c r="K612" s="8" t="s">
        <v>240</v>
      </c>
      <c r="L612" s="6"/>
      <c r="M612" s="7">
        <v>46124</v>
      </c>
      <c r="N612" s="7" t="s">
        <v>485</v>
      </c>
      <c r="O612" s="7" t="s">
        <v>79</v>
      </c>
      <c r="P612" s="6" t="s">
        <v>62</v>
      </c>
      <c r="Q612" s="8" t="s">
        <v>2863</v>
      </c>
      <c r="R612" t="str">
        <f>HYPERLINK("https://docs.wto.org/imrd/directdoc.asp?DDFDocuments/t/G/TBTN26/KEN1982.docx", "https://docs.wto.org/imrd/directdoc.asp?DDFDocuments/t/G/TBTN26/KEN1982.docx")</f>
        <v>https://docs.wto.org/imrd/directdoc.asp?DDFDocuments/t/G/TBTN26/KEN1982.docx</v>
      </c>
      <c r="S612" t="str">
        <f>HYPERLINK("https://docs.wto.org/imrd/directdoc.asp?DDFDocuments/u/G/TBTN26/KEN1982.docx", "https://docs.wto.org/imrd/directdoc.asp?DDFDocuments/u/G/TBTN26/KEN1982.docx")</f>
        <v>https://docs.wto.org/imrd/directdoc.asp?DDFDocuments/u/G/TBTN26/KEN1982.docx</v>
      </c>
      <c r="T612" t="str">
        <f>HYPERLINK("https://docs.wto.org/imrd/directdoc.asp?DDFDocuments/v/G/TBTN26/KEN1982.docx", "https://docs.wto.org/imrd/directdoc.asp?DDFDocuments/v/G/TBTN26/KEN1982.docx")</f>
        <v>https://docs.wto.org/imrd/directdoc.asp?DDFDocuments/v/G/TBTN26/KEN1982.docx</v>
      </c>
      <c r="U612" t="s">
        <v>64</v>
      </c>
      <c r="V612" t="s">
        <v>46</v>
      </c>
      <c r="W612" t="s">
        <v>46</v>
      </c>
      <c r="X612" t="s">
        <v>46</v>
      </c>
      <c r="Y612" t="s">
        <v>46</v>
      </c>
      <c r="Z612" t="s">
        <v>46</v>
      </c>
      <c r="AA612" t="s">
        <v>46</v>
      </c>
      <c r="AB612" s="2" t="s">
        <v>2864</v>
      </c>
      <c r="AC612" t="s">
        <v>43</v>
      </c>
      <c r="AD612" t="s">
        <v>43</v>
      </c>
      <c r="AE612" t="s">
        <v>43</v>
      </c>
      <c r="AF612" t="s">
        <v>43</v>
      </c>
      <c r="AG612" t="s">
        <v>43</v>
      </c>
      <c r="AH612" s="2" t="s">
        <v>43</v>
      </c>
    </row>
    <row r="613" spans="1:34" ht="75">
      <c r="A613" s="6" t="s">
        <v>124</v>
      </c>
      <c r="B613" s="7">
        <v>46064</v>
      </c>
      <c r="C613" s="9" t="str">
        <f>HYPERLINK("https://eping.wto.org/en/Search?viewData= G/TBT/N/KEN/1775/Add.1"," G/TBT/N/KEN/1775/Add.1")</f>
        <v xml:space="preserve"> G/TBT/N/KEN/1775/Add.1</v>
      </c>
      <c r="D613" s="8" t="s">
        <v>2865</v>
      </c>
      <c r="E613" s="8" t="s">
        <v>2866</v>
      </c>
      <c r="F613" s="8" t="s">
        <v>2867</v>
      </c>
      <c r="G613" s="8" t="s">
        <v>43</v>
      </c>
      <c r="H613" s="8" t="s">
        <v>2868</v>
      </c>
      <c r="I613" s="8" t="s">
        <v>2869</v>
      </c>
      <c r="J613" s="8" t="s">
        <v>43</v>
      </c>
      <c r="K613" s="8" t="s">
        <v>1029</v>
      </c>
      <c r="L613" s="6"/>
      <c r="M613" s="7" t="s">
        <v>43</v>
      </c>
      <c r="N613" s="7"/>
      <c r="O613" s="7"/>
      <c r="P613" s="6" t="s">
        <v>44</v>
      </c>
      <c r="Q613" s="6"/>
      <c r="R613" t="str">
        <f>HYPERLINK("https://docs.wto.org/imrd/directdoc.asp?DDFDocuments/t/G/TBTN25/KEN1775A1.docx", "https://docs.wto.org/imrd/directdoc.asp?DDFDocuments/t/G/TBTN25/KEN1775A1.docx")</f>
        <v>https://docs.wto.org/imrd/directdoc.asp?DDFDocuments/t/G/TBTN25/KEN1775A1.docx</v>
      </c>
      <c r="S613" t="str">
        <f>HYPERLINK("https://docs.wto.org/imrd/directdoc.asp?DDFDocuments/u/G/TBTN25/KEN1775A1.docx", "https://docs.wto.org/imrd/directdoc.asp?DDFDocuments/u/G/TBTN25/KEN1775A1.docx")</f>
        <v>https://docs.wto.org/imrd/directdoc.asp?DDFDocuments/u/G/TBTN25/KEN1775A1.docx</v>
      </c>
      <c r="T613" t="str">
        <f>HYPERLINK("https://docs.wto.org/imrd/directdoc.asp?DDFDocuments/v/G/TBTN25/KEN1775A1.docx", "https://docs.wto.org/imrd/directdoc.asp?DDFDocuments/v/G/TBTN25/KEN1775A1.docx")</f>
        <v>https://docs.wto.org/imrd/directdoc.asp?DDFDocuments/v/G/TBTN25/KEN1775A1.docx</v>
      </c>
      <c r="U613" t="s">
        <v>64</v>
      </c>
      <c r="V613" t="s">
        <v>46</v>
      </c>
      <c r="W613" t="s">
        <v>64</v>
      </c>
      <c r="X613" t="s">
        <v>46</v>
      </c>
      <c r="Y613" t="s">
        <v>46</v>
      </c>
      <c r="Z613" t="s">
        <v>46</v>
      </c>
      <c r="AA613" t="s">
        <v>46</v>
      </c>
      <c r="AB613" s="2" t="s">
        <v>43</v>
      </c>
      <c r="AC613" t="s">
        <v>43</v>
      </c>
      <c r="AD613" t="s">
        <v>43</v>
      </c>
      <c r="AE613" t="s">
        <v>43</v>
      </c>
      <c r="AF613" t="s">
        <v>43</v>
      </c>
      <c r="AG613" t="s">
        <v>43</v>
      </c>
      <c r="AH613" s="2" t="s">
        <v>43</v>
      </c>
    </row>
    <row r="614" spans="1:34" ht="90">
      <c r="A614" s="6" t="s">
        <v>124</v>
      </c>
      <c r="B614" s="7">
        <v>46064</v>
      </c>
      <c r="C614" s="9" t="str">
        <f>HYPERLINK("https://eping.wto.org/en/Search?viewData= G/TBT/N/BDI/452/Add.3, G/TBT/N/KEN/1557/Add.3, G/TBT/N/RWA/987/Add.3, G/TBT/N/TZA/1088/Add.3, G/TBT/N/UGA/1902/Add.3"," G/TBT/N/BDI/452/Add.3, G/TBT/N/KEN/1557/Add.3, G/TBT/N/RWA/987/Add.3, G/TBT/N/TZA/1088/Add.3, G/TBT/N/UGA/1902/Add.3")</f>
        <v xml:space="preserve"> G/TBT/N/BDI/452/Add.3, G/TBT/N/KEN/1557/Add.3, G/TBT/N/RWA/987/Add.3, G/TBT/N/TZA/1088/Add.3, G/TBT/N/UGA/1902/Add.3</v>
      </c>
      <c r="D614" s="8" t="s">
        <v>2855</v>
      </c>
      <c r="E614" s="8" t="s">
        <v>2856</v>
      </c>
      <c r="F614" s="8" t="s">
        <v>2819</v>
      </c>
      <c r="G614" s="8" t="s">
        <v>2820</v>
      </c>
      <c r="H614" s="8" t="s">
        <v>2821</v>
      </c>
      <c r="I614" s="8" t="s">
        <v>2854</v>
      </c>
      <c r="J614" s="8" t="s">
        <v>43</v>
      </c>
      <c r="K614" s="8" t="s">
        <v>1029</v>
      </c>
      <c r="L614" s="6"/>
      <c r="M614" s="7" t="s">
        <v>43</v>
      </c>
      <c r="N614" s="7"/>
      <c r="O614" s="7"/>
      <c r="P614" s="6" t="s">
        <v>44</v>
      </c>
      <c r="Q614" s="6"/>
      <c r="R614" t="str">
        <f>HYPERLINK("https://docs.wto.org/imrd/directdoc.asp?DDFDocuments/t/G/TBTN24/BDI452A3.docx", "https://docs.wto.org/imrd/directdoc.asp?DDFDocuments/t/G/TBTN24/BDI452A3.docx")</f>
        <v>https://docs.wto.org/imrd/directdoc.asp?DDFDocuments/t/G/TBTN24/BDI452A3.docx</v>
      </c>
      <c r="S614" t="str">
        <f>HYPERLINK("https://docs.wto.org/imrd/directdoc.asp?DDFDocuments/u/G/TBTN24/BDI452A3.docx", "https://docs.wto.org/imrd/directdoc.asp?DDFDocuments/u/G/TBTN24/BDI452A3.docx")</f>
        <v>https://docs.wto.org/imrd/directdoc.asp?DDFDocuments/u/G/TBTN24/BDI452A3.docx</v>
      </c>
      <c r="T614" t="str">
        <f>HYPERLINK("https://docs.wto.org/imrd/directdoc.asp?DDFDocuments/v/G/TBTN24/BDI452A3.docx", "https://docs.wto.org/imrd/directdoc.asp?DDFDocuments/v/G/TBTN24/BDI452A3.docx")</f>
        <v>https://docs.wto.org/imrd/directdoc.asp?DDFDocuments/v/G/TBTN24/BDI452A3.docx</v>
      </c>
      <c r="U614" t="s">
        <v>64</v>
      </c>
      <c r="V614" t="s">
        <v>46</v>
      </c>
      <c r="W614" t="s">
        <v>46</v>
      </c>
      <c r="X614" t="s">
        <v>46</v>
      </c>
      <c r="Y614" t="s">
        <v>46</v>
      </c>
      <c r="Z614" t="s">
        <v>46</v>
      </c>
      <c r="AA614" t="s">
        <v>46</v>
      </c>
      <c r="AB614" s="2" t="s">
        <v>43</v>
      </c>
      <c r="AC614" t="s">
        <v>43</v>
      </c>
      <c r="AD614" t="s">
        <v>43</v>
      </c>
      <c r="AE614" t="s">
        <v>43</v>
      </c>
      <c r="AF614" t="s">
        <v>43</v>
      </c>
      <c r="AG614" t="s">
        <v>43</v>
      </c>
      <c r="AH614" s="2" t="s">
        <v>43</v>
      </c>
    </row>
    <row r="615" spans="1:34" ht="255">
      <c r="A615" s="6" t="s">
        <v>509</v>
      </c>
      <c r="B615" s="7">
        <v>46064</v>
      </c>
      <c r="C615" s="9" t="str">
        <f>HYPERLINK("https://eping.wto.org/en/Search?viewData= G/TBT/N/UGA/2313"," G/TBT/N/UGA/2313")</f>
        <v xml:space="preserve"> G/TBT/N/UGA/2313</v>
      </c>
      <c r="D615" s="8" t="s">
        <v>2870</v>
      </c>
      <c r="E615" s="8" t="s">
        <v>2871</v>
      </c>
      <c r="F615" s="8" t="s">
        <v>2872</v>
      </c>
      <c r="G615" s="8" t="s">
        <v>2873</v>
      </c>
      <c r="H615" s="8" t="s">
        <v>2874</v>
      </c>
      <c r="I615" s="8" t="s">
        <v>2875</v>
      </c>
      <c r="J615" s="8" t="s">
        <v>43</v>
      </c>
      <c r="K615" s="8" t="s">
        <v>43</v>
      </c>
      <c r="L615" s="6"/>
      <c r="M615" s="7">
        <v>46124</v>
      </c>
      <c r="N615" s="7" t="s">
        <v>79</v>
      </c>
      <c r="O615" s="7" t="s">
        <v>79</v>
      </c>
      <c r="P615" s="6" t="s">
        <v>62</v>
      </c>
      <c r="Q615" s="8" t="s">
        <v>2876</v>
      </c>
      <c r="R615" t="str">
        <f>HYPERLINK("https://docs.wto.org/imrd/directdoc.asp?DDFDocuments/t/G/TBTN26/UGA2313.docx", "https://docs.wto.org/imrd/directdoc.asp?DDFDocuments/t/G/TBTN26/UGA2313.docx")</f>
        <v>https://docs.wto.org/imrd/directdoc.asp?DDFDocuments/t/G/TBTN26/UGA2313.docx</v>
      </c>
      <c r="S615" t="str">
        <f>HYPERLINK("https://docs.wto.org/imrd/directdoc.asp?DDFDocuments/u/G/TBTN26/UGA2313.docx", "https://docs.wto.org/imrd/directdoc.asp?DDFDocuments/u/G/TBTN26/UGA2313.docx")</f>
        <v>https://docs.wto.org/imrd/directdoc.asp?DDFDocuments/u/G/TBTN26/UGA2313.docx</v>
      </c>
      <c r="T615" t="str">
        <f>HYPERLINK("https://docs.wto.org/imrd/directdoc.asp?DDFDocuments/v/G/TBTN26/UGA2313.docx", "https://docs.wto.org/imrd/directdoc.asp?DDFDocuments/v/G/TBTN26/UGA2313.docx")</f>
        <v>https://docs.wto.org/imrd/directdoc.asp?DDFDocuments/v/G/TBTN26/UGA2313.docx</v>
      </c>
      <c r="U615" t="s">
        <v>64</v>
      </c>
      <c r="V615" t="s">
        <v>46</v>
      </c>
      <c r="W615" t="s">
        <v>64</v>
      </c>
      <c r="X615" t="s">
        <v>46</v>
      </c>
      <c r="Y615" t="s">
        <v>46</v>
      </c>
      <c r="Z615" t="s">
        <v>46</v>
      </c>
      <c r="AA615" t="s">
        <v>46</v>
      </c>
      <c r="AB615" s="2" t="s">
        <v>2877</v>
      </c>
      <c r="AC615" t="s">
        <v>43</v>
      </c>
      <c r="AD615" t="s">
        <v>43</v>
      </c>
      <c r="AE615" t="s">
        <v>43</v>
      </c>
      <c r="AF615" t="s">
        <v>43</v>
      </c>
      <c r="AG615" t="s">
        <v>43</v>
      </c>
      <c r="AH615" s="2" t="s">
        <v>43</v>
      </c>
    </row>
    <row r="616" spans="1:34" ht="60">
      <c r="A616" s="6" t="s">
        <v>390</v>
      </c>
      <c r="B616" s="7">
        <v>46064</v>
      </c>
      <c r="C616" s="9" t="str">
        <f>HYPERLINK("https://eping.wto.org/en/Search?viewData= G/TBT/N/BDI/285/Add.3, G/TBT/N/KEN/1319/Add.3, G/TBT/N/RWA/719/Add.3, G/TBT/N/TZA/838/Add.3, G/TBT/N/UGA/1693/Add.3"," G/TBT/N/BDI/285/Add.3, G/TBT/N/KEN/1319/Add.3, G/TBT/N/RWA/719/Add.3, G/TBT/N/TZA/838/Add.3, G/TBT/N/UGA/1693/Add.3")</f>
        <v xml:space="preserve"> G/TBT/N/BDI/285/Add.3, G/TBT/N/KEN/1319/Add.3, G/TBT/N/RWA/719/Add.3, G/TBT/N/TZA/838/Add.3, G/TBT/N/UGA/1693/Add.3</v>
      </c>
      <c r="D616" s="8" t="s">
        <v>2857</v>
      </c>
      <c r="E616" s="8" t="s">
        <v>2858</v>
      </c>
      <c r="F616" s="8" t="s">
        <v>2825</v>
      </c>
      <c r="G616" s="8" t="s">
        <v>43</v>
      </c>
      <c r="H616" s="8" t="s">
        <v>2826</v>
      </c>
      <c r="I616" s="8" t="s">
        <v>2834</v>
      </c>
      <c r="J616" s="8" t="s">
        <v>43</v>
      </c>
      <c r="K616" s="8" t="s">
        <v>1029</v>
      </c>
      <c r="L616" s="6"/>
      <c r="M616" s="7" t="s">
        <v>43</v>
      </c>
      <c r="N616" s="7"/>
      <c r="O616" s="7"/>
      <c r="P616" s="6" t="s">
        <v>44</v>
      </c>
      <c r="Q616" s="6"/>
      <c r="R616" t="str">
        <f>HYPERLINK("https://docs.wto.org/imrd/directdoc.asp?DDFDocuments/t/G/TBTN22/BDI285A3.docx", "https://docs.wto.org/imrd/directdoc.asp?DDFDocuments/t/G/TBTN22/BDI285A3.docx")</f>
        <v>https://docs.wto.org/imrd/directdoc.asp?DDFDocuments/t/G/TBTN22/BDI285A3.docx</v>
      </c>
      <c r="S616" t="str">
        <f>HYPERLINK("https://docs.wto.org/imrd/directdoc.asp?DDFDocuments/u/G/TBTN22/BDI285A3.docx", "https://docs.wto.org/imrd/directdoc.asp?DDFDocuments/u/G/TBTN22/BDI285A3.docx")</f>
        <v>https://docs.wto.org/imrd/directdoc.asp?DDFDocuments/u/G/TBTN22/BDI285A3.docx</v>
      </c>
      <c r="T616" t="str">
        <f>HYPERLINK("https://docs.wto.org/imrd/directdoc.asp?DDFDocuments/v/G/TBTN22/BDI285A3.docx", "https://docs.wto.org/imrd/directdoc.asp?DDFDocuments/v/G/TBTN22/BDI285A3.docx")</f>
        <v>https://docs.wto.org/imrd/directdoc.asp?DDFDocuments/v/G/TBTN22/BDI285A3.docx</v>
      </c>
      <c r="U616" t="s">
        <v>64</v>
      </c>
      <c r="V616" t="s">
        <v>46</v>
      </c>
      <c r="W616" t="s">
        <v>64</v>
      </c>
      <c r="X616" t="s">
        <v>46</v>
      </c>
      <c r="Y616" t="s">
        <v>46</v>
      </c>
      <c r="Z616" t="s">
        <v>46</v>
      </c>
      <c r="AA616" t="s">
        <v>46</v>
      </c>
      <c r="AB616" s="2" t="s">
        <v>43</v>
      </c>
      <c r="AC616" t="s">
        <v>43</v>
      </c>
      <c r="AD616" t="s">
        <v>43</v>
      </c>
      <c r="AE616" t="s">
        <v>43</v>
      </c>
      <c r="AF616" t="s">
        <v>43</v>
      </c>
      <c r="AG616" t="s">
        <v>43</v>
      </c>
      <c r="AH616" s="2" t="s">
        <v>43</v>
      </c>
    </row>
    <row r="617" spans="1:34" ht="45">
      <c r="A617" s="6" t="s">
        <v>390</v>
      </c>
      <c r="B617" s="7">
        <v>46064</v>
      </c>
      <c r="C617" s="9" t="str">
        <f>HYPERLINK("https://eping.wto.org/en/Search?viewData= G/TBT/N/TZA/1009/Add.1"," G/TBT/N/TZA/1009/Add.1")</f>
        <v xml:space="preserve"> G/TBT/N/TZA/1009/Add.1</v>
      </c>
      <c r="D617" s="8" t="s">
        <v>2878</v>
      </c>
      <c r="E617" s="8" t="s">
        <v>2879</v>
      </c>
      <c r="F617" s="8" t="s">
        <v>2880</v>
      </c>
      <c r="G617" s="8" t="s">
        <v>43</v>
      </c>
      <c r="H617" s="8" t="s">
        <v>2881</v>
      </c>
      <c r="I617" s="8" t="s">
        <v>739</v>
      </c>
      <c r="J617" s="8" t="s">
        <v>43</v>
      </c>
      <c r="K617" s="8" t="s">
        <v>43</v>
      </c>
      <c r="L617" s="6"/>
      <c r="M617" s="7" t="s">
        <v>43</v>
      </c>
      <c r="N617" s="7"/>
      <c r="O617" s="7"/>
      <c r="P617" s="6" t="s">
        <v>44</v>
      </c>
      <c r="Q617" s="6"/>
      <c r="R617" t="str">
        <f>HYPERLINK("https://docs.wto.org/imrd/directdoc.asp?DDFDocuments/t/G/TBTN23/TZA1009A1.docx", "https://docs.wto.org/imrd/directdoc.asp?DDFDocuments/t/G/TBTN23/TZA1009A1.docx")</f>
        <v>https://docs.wto.org/imrd/directdoc.asp?DDFDocuments/t/G/TBTN23/TZA1009A1.docx</v>
      </c>
      <c r="S617" t="str">
        <f>HYPERLINK("https://docs.wto.org/imrd/directdoc.asp?DDFDocuments/u/G/TBTN23/TZA1009A1.docx", "https://docs.wto.org/imrd/directdoc.asp?DDFDocuments/u/G/TBTN23/TZA1009A1.docx")</f>
        <v>https://docs.wto.org/imrd/directdoc.asp?DDFDocuments/u/G/TBTN23/TZA1009A1.docx</v>
      </c>
      <c r="T617" t="str">
        <f>HYPERLINK("https://docs.wto.org/imrd/directdoc.asp?DDFDocuments/v/G/TBTN23/TZA1009A1.docx", "https://docs.wto.org/imrd/directdoc.asp?DDFDocuments/v/G/TBTN23/TZA1009A1.docx")</f>
        <v>https://docs.wto.org/imrd/directdoc.asp?DDFDocuments/v/G/TBTN23/TZA1009A1.docx</v>
      </c>
      <c r="U617" t="s">
        <v>64</v>
      </c>
      <c r="V617" t="s">
        <v>46</v>
      </c>
      <c r="W617" t="s">
        <v>46</v>
      </c>
      <c r="X617" t="s">
        <v>46</v>
      </c>
      <c r="Y617" t="s">
        <v>46</v>
      </c>
      <c r="Z617" t="s">
        <v>46</v>
      </c>
      <c r="AA617" t="s">
        <v>46</v>
      </c>
      <c r="AB617" s="2" t="s">
        <v>43</v>
      </c>
      <c r="AC617" t="s">
        <v>43</v>
      </c>
      <c r="AD617" t="s">
        <v>43</v>
      </c>
      <c r="AE617" t="s">
        <v>43</v>
      </c>
      <c r="AF617" t="s">
        <v>43</v>
      </c>
      <c r="AG617" t="s">
        <v>43</v>
      </c>
      <c r="AH617" s="2" t="s">
        <v>43</v>
      </c>
    </row>
    <row r="618" spans="1:34" ht="105">
      <c r="A618" s="6" t="s">
        <v>390</v>
      </c>
      <c r="B618" s="7">
        <v>46064</v>
      </c>
      <c r="C618" s="9" t="str">
        <f>HYPERLINK("https://eping.wto.org/en/Search?viewData= G/SPS/N/BDI/30/Add.3, G/SPS/N/KEN/186/Add.3, G/SPS/N/RWA/23/Add.3, G/SPS/N/TZA/224/Add.3, G/SPS/N/UGA/226/Add.3"," G/SPS/N/BDI/30/Add.3, G/SPS/N/KEN/186/Add.3, G/SPS/N/RWA/23/Add.3, G/SPS/N/TZA/224/Add.3, G/SPS/N/UGA/226/Add.3")</f>
        <v xml:space="preserve"> G/SPS/N/BDI/30/Add.3, G/SPS/N/KEN/186/Add.3, G/SPS/N/RWA/23/Add.3, G/SPS/N/TZA/224/Add.3, G/SPS/N/UGA/226/Add.3</v>
      </c>
      <c r="D618" s="8" t="s">
        <v>2748</v>
      </c>
      <c r="E618" s="8" t="s">
        <v>2844</v>
      </c>
      <c r="F618" s="8" t="s">
        <v>2750</v>
      </c>
      <c r="G618" s="8" t="s">
        <v>2751</v>
      </c>
      <c r="H618" s="8" t="s">
        <v>2752</v>
      </c>
      <c r="I618" s="8" t="s">
        <v>58</v>
      </c>
      <c r="J618" s="8" t="s">
        <v>43</v>
      </c>
      <c r="K618" s="8" t="s">
        <v>2596</v>
      </c>
      <c r="L618" s="6"/>
      <c r="M618" s="7" t="s">
        <v>43</v>
      </c>
      <c r="N618" s="7"/>
      <c r="O618" s="7"/>
      <c r="P618" s="6" t="s">
        <v>44</v>
      </c>
      <c r="Q618" s="6"/>
      <c r="R618" t="str">
        <f>HYPERLINK("https://docs.wto.org/imrd/directdoc.asp?DDFDocuments/t/G/SPS/NBDI30A3.docx", "https://docs.wto.org/imrd/directdoc.asp?DDFDocuments/t/G/SPS/NBDI30A3.docx")</f>
        <v>https://docs.wto.org/imrd/directdoc.asp?DDFDocuments/t/G/SPS/NBDI30A3.docx</v>
      </c>
      <c r="S618" t="str">
        <f>HYPERLINK("https://docs.wto.org/imrd/directdoc.asp?DDFDocuments/u/G/SPS/NBDI30A3.docx", "https://docs.wto.org/imrd/directdoc.asp?DDFDocuments/u/G/SPS/NBDI30A3.docx")</f>
        <v>https://docs.wto.org/imrd/directdoc.asp?DDFDocuments/u/G/SPS/NBDI30A3.docx</v>
      </c>
      <c r="T618" t="str">
        <f>HYPERLINK("https://docs.wto.org/imrd/directdoc.asp?DDFDocuments/v/G/SPS/NBDI30A3.docx", "https://docs.wto.org/imrd/directdoc.asp?DDFDocuments/v/G/SPS/NBDI30A3.docx")</f>
        <v>https://docs.wto.org/imrd/directdoc.asp?DDFDocuments/v/G/SPS/NBDI30A3.docx</v>
      </c>
      <c r="U618" t="s">
        <v>43</v>
      </c>
      <c r="V618" t="s">
        <v>43</v>
      </c>
      <c r="W618" t="s">
        <v>43</v>
      </c>
      <c r="X618" t="s">
        <v>43</v>
      </c>
      <c r="Y618" t="s">
        <v>43</v>
      </c>
      <c r="Z618" t="s">
        <v>43</v>
      </c>
      <c r="AA618" t="s">
        <v>43</v>
      </c>
      <c r="AB618" s="2" t="s">
        <v>43</v>
      </c>
      <c r="AC618" t="s">
        <v>43</v>
      </c>
      <c r="AD618" t="s">
        <v>43</v>
      </c>
      <c r="AE618" t="s">
        <v>43</v>
      </c>
      <c r="AF618" t="s">
        <v>43</v>
      </c>
      <c r="AG618" t="s">
        <v>43</v>
      </c>
      <c r="AH618" s="2" t="s">
        <v>43</v>
      </c>
    </row>
    <row r="619" spans="1:34" ht="90">
      <c r="A619" s="6" t="s">
        <v>108</v>
      </c>
      <c r="B619" s="7">
        <v>46064</v>
      </c>
      <c r="C619" s="9" t="str">
        <f>HYPERLINK("https://eping.wto.org/en/Search?viewData= G/TBT/N/BDI/450/Add.3, G/TBT/N/KEN/1555/Add.3, G/TBT/N/RWA/985/Add.3, G/TBT/N/TZA/1086/Add.3, G/TBT/N/UGA/1900/Add.3"," G/TBT/N/BDI/450/Add.3, G/TBT/N/KEN/1555/Add.3, G/TBT/N/RWA/985/Add.3, G/TBT/N/TZA/1086/Add.3, G/TBT/N/UGA/1900/Add.3")</f>
        <v xml:space="preserve"> G/TBT/N/BDI/450/Add.3, G/TBT/N/KEN/1555/Add.3, G/TBT/N/RWA/985/Add.3, G/TBT/N/TZA/1086/Add.3, G/TBT/N/UGA/1900/Add.3</v>
      </c>
      <c r="D619" s="8" t="s">
        <v>2840</v>
      </c>
      <c r="E619" s="8" t="s">
        <v>2841</v>
      </c>
      <c r="F619" s="8" t="s">
        <v>2819</v>
      </c>
      <c r="G619" s="8" t="s">
        <v>2842</v>
      </c>
      <c r="H619" s="8" t="s">
        <v>2821</v>
      </c>
      <c r="I619" s="8" t="s">
        <v>2843</v>
      </c>
      <c r="J619" s="8" t="s">
        <v>43</v>
      </c>
      <c r="K619" s="8" t="s">
        <v>1029</v>
      </c>
      <c r="L619" s="6"/>
      <c r="M619" s="7" t="s">
        <v>43</v>
      </c>
      <c r="N619" s="7"/>
      <c r="O619" s="7"/>
      <c r="P619" s="6" t="s">
        <v>44</v>
      </c>
      <c r="Q619" s="6"/>
      <c r="R619" t="str">
        <f>HYPERLINK("https://docs.wto.org/imrd/directdoc.asp?DDFDocuments/t/G/TBTN24/BDI450A3.docx", "https://docs.wto.org/imrd/directdoc.asp?DDFDocuments/t/G/TBTN24/BDI450A3.docx")</f>
        <v>https://docs.wto.org/imrd/directdoc.asp?DDFDocuments/t/G/TBTN24/BDI450A3.docx</v>
      </c>
      <c r="S619" t="str">
        <f>HYPERLINK("https://docs.wto.org/imrd/directdoc.asp?DDFDocuments/u/G/TBTN24/BDI450A3.docx", "https://docs.wto.org/imrd/directdoc.asp?DDFDocuments/u/G/TBTN24/BDI450A3.docx")</f>
        <v>https://docs.wto.org/imrd/directdoc.asp?DDFDocuments/u/G/TBTN24/BDI450A3.docx</v>
      </c>
      <c r="T619" t="str">
        <f>HYPERLINK("https://docs.wto.org/imrd/directdoc.asp?DDFDocuments/v/G/TBTN24/BDI450A3.docx", "https://docs.wto.org/imrd/directdoc.asp?DDFDocuments/v/G/TBTN24/BDI450A3.docx")</f>
        <v>https://docs.wto.org/imrd/directdoc.asp?DDFDocuments/v/G/TBTN24/BDI450A3.docx</v>
      </c>
      <c r="U619" t="s">
        <v>64</v>
      </c>
      <c r="V619" t="s">
        <v>46</v>
      </c>
      <c r="W619" t="s">
        <v>46</v>
      </c>
      <c r="X619" t="s">
        <v>46</v>
      </c>
      <c r="Y619" t="s">
        <v>46</v>
      </c>
      <c r="Z619" t="s">
        <v>46</v>
      </c>
      <c r="AA619" t="s">
        <v>46</v>
      </c>
      <c r="AB619" s="2" t="s">
        <v>43</v>
      </c>
      <c r="AC619" t="s">
        <v>43</v>
      </c>
      <c r="AD619" t="s">
        <v>43</v>
      </c>
      <c r="AE619" t="s">
        <v>43</v>
      </c>
      <c r="AF619" t="s">
        <v>43</v>
      </c>
      <c r="AG619" t="s">
        <v>43</v>
      </c>
      <c r="AH619" s="2" t="s">
        <v>43</v>
      </c>
    </row>
    <row r="620" spans="1:34" ht="90">
      <c r="A620" s="6" t="s">
        <v>509</v>
      </c>
      <c r="B620" s="7">
        <v>46064</v>
      </c>
      <c r="C620" s="9" t="str">
        <f>HYPERLINK("https://eping.wto.org/en/Search?viewData= G/TBT/N/BDI/450/Add.3, G/TBT/N/KEN/1555/Add.3, G/TBT/N/RWA/985/Add.3, G/TBT/N/TZA/1086/Add.3, G/TBT/N/UGA/1900/Add.3"," G/TBT/N/BDI/450/Add.3, G/TBT/N/KEN/1555/Add.3, G/TBT/N/RWA/985/Add.3, G/TBT/N/TZA/1086/Add.3, G/TBT/N/UGA/1900/Add.3")</f>
        <v xml:space="preserve"> G/TBT/N/BDI/450/Add.3, G/TBT/N/KEN/1555/Add.3, G/TBT/N/RWA/985/Add.3, G/TBT/N/TZA/1086/Add.3, G/TBT/N/UGA/1900/Add.3</v>
      </c>
      <c r="D620" s="8" t="s">
        <v>2840</v>
      </c>
      <c r="E620" s="8" t="s">
        <v>2841</v>
      </c>
      <c r="F620" s="8" t="s">
        <v>2819</v>
      </c>
      <c r="G620" s="8" t="s">
        <v>2842</v>
      </c>
      <c r="H620" s="8" t="s">
        <v>2821</v>
      </c>
      <c r="I620" s="8" t="s">
        <v>2843</v>
      </c>
      <c r="J620" s="8" t="s">
        <v>43</v>
      </c>
      <c r="K620" s="8" t="s">
        <v>1029</v>
      </c>
      <c r="L620" s="6"/>
      <c r="M620" s="7" t="s">
        <v>43</v>
      </c>
      <c r="N620" s="7"/>
      <c r="O620" s="7"/>
      <c r="P620" s="6" t="s">
        <v>44</v>
      </c>
      <c r="Q620" s="6"/>
      <c r="R620" t="str">
        <f>HYPERLINK("https://docs.wto.org/imrd/directdoc.asp?DDFDocuments/t/G/TBTN24/BDI450A3.docx", "https://docs.wto.org/imrd/directdoc.asp?DDFDocuments/t/G/TBTN24/BDI450A3.docx")</f>
        <v>https://docs.wto.org/imrd/directdoc.asp?DDFDocuments/t/G/TBTN24/BDI450A3.docx</v>
      </c>
      <c r="S620" t="str">
        <f>HYPERLINK("https://docs.wto.org/imrd/directdoc.asp?DDFDocuments/u/G/TBTN24/BDI450A3.docx", "https://docs.wto.org/imrd/directdoc.asp?DDFDocuments/u/G/TBTN24/BDI450A3.docx")</f>
        <v>https://docs.wto.org/imrd/directdoc.asp?DDFDocuments/u/G/TBTN24/BDI450A3.docx</v>
      </c>
      <c r="T620" t="str">
        <f>HYPERLINK("https://docs.wto.org/imrd/directdoc.asp?DDFDocuments/v/G/TBTN24/BDI450A3.docx", "https://docs.wto.org/imrd/directdoc.asp?DDFDocuments/v/G/TBTN24/BDI450A3.docx")</f>
        <v>https://docs.wto.org/imrd/directdoc.asp?DDFDocuments/v/G/TBTN24/BDI450A3.docx</v>
      </c>
      <c r="U620" t="s">
        <v>64</v>
      </c>
      <c r="V620" t="s">
        <v>46</v>
      </c>
      <c r="W620" t="s">
        <v>46</v>
      </c>
      <c r="X620" t="s">
        <v>46</v>
      </c>
      <c r="Y620" t="s">
        <v>46</v>
      </c>
      <c r="Z620" t="s">
        <v>46</v>
      </c>
      <c r="AA620" t="s">
        <v>46</v>
      </c>
      <c r="AB620" s="2" t="s">
        <v>43</v>
      </c>
      <c r="AC620" t="s">
        <v>43</v>
      </c>
      <c r="AD620" t="s">
        <v>43</v>
      </c>
      <c r="AE620" t="s">
        <v>43</v>
      </c>
      <c r="AF620" t="s">
        <v>43</v>
      </c>
      <c r="AG620" t="s">
        <v>43</v>
      </c>
      <c r="AH620" s="2" t="s">
        <v>43</v>
      </c>
    </row>
    <row r="621" spans="1:34" ht="90">
      <c r="A621" s="6" t="s">
        <v>577</v>
      </c>
      <c r="B621" s="7">
        <v>46064</v>
      </c>
      <c r="C621" s="9" t="str">
        <f>HYPERLINK("https://eping.wto.org/en/Search?viewData= G/TBT/N/BDI/452/Add.3, G/TBT/N/KEN/1557/Add.3, G/TBT/N/RWA/987/Add.3, G/TBT/N/TZA/1088/Add.3, G/TBT/N/UGA/1902/Add.3"," G/TBT/N/BDI/452/Add.3, G/TBT/N/KEN/1557/Add.3, G/TBT/N/RWA/987/Add.3, G/TBT/N/TZA/1088/Add.3, G/TBT/N/UGA/1902/Add.3")</f>
        <v xml:space="preserve"> G/TBT/N/BDI/452/Add.3, G/TBT/N/KEN/1557/Add.3, G/TBT/N/RWA/987/Add.3, G/TBT/N/TZA/1088/Add.3, G/TBT/N/UGA/1902/Add.3</v>
      </c>
      <c r="D621" s="8" t="s">
        <v>2855</v>
      </c>
      <c r="E621" s="8" t="s">
        <v>2856</v>
      </c>
      <c r="F621" s="8" t="s">
        <v>2819</v>
      </c>
      <c r="G621" s="8" t="s">
        <v>2820</v>
      </c>
      <c r="H621" s="8" t="s">
        <v>2821</v>
      </c>
      <c r="I621" s="8" t="s">
        <v>2822</v>
      </c>
      <c r="J621" s="8" t="s">
        <v>43</v>
      </c>
      <c r="K621" s="8" t="s">
        <v>1029</v>
      </c>
      <c r="L621" s="6"/>
      <c r="M621" s="7" t="s">
        <v>43</v>
      </c>
      <c r="N621" s="7"/>
      <c r="O621" s="7"/>
      <c r="P621" s="6" t="s">
        <v>44</v>
      </c>
      <c r="Q621" s="6"/>
      <c r="R621" t="str">
        <f>HYPERLINK("https://docs.wto.org/imrd/directdoc.asp?DDFDocuments/t/G/TBTN24/BDI452A3.docx", "https://docs.wto.org/imrd/directdoc.asp?DDFDocuments/t/G/TBTN24/BDI452A3.docx")</f>
        <v>https://docs.wto.org/imrd/directdoc.asp?DDFDocuments/t/G/TBTN24/BDI452A3.docx</v>
      </c>
      <c r="S621" t="str">
        <f>HYPERLINK("https://docs.wto.org/imrd/directdoc.asp?DDFDocuments/u/G/TBTN24/BDI452A3.docx", "https://docs.wto.org/imrd/directdoc.asp?DDFDocuments/u/G/TBTN24/BDI452A3.docx")</f>
        <v>https://docs.wto.org/imrd/directdoc.asp?DDFDocuments/u/G/TBTN24/BDI452A3.docx</v>
      </c>
      <c r="T621" t="str">
        <f>HYPERLINK("https://docs.wto.org/imrd/directdoc.asp?DDFDocuments/v/G/TBTN24/BDI452A3.docx", "https://docs.wto.org/imrd/directdoc.asp?DDFDocuments/v/G/TBTN24/BDI452A3.docx")</f>
        <v>https://docs.wto.org/imrd/directdoc.asp?DDFDocuments/v/G/TBTN24/BDI452A3.docx</v>
      </c>
      <c r="U621" t="s">
        <v>64</v>
      </c>
      <c r="V621" t="s">
        <v>46</v>
      </c>
      <c r="W621" t="s">
        <v>46</v>
      </c>
      <c r="X621" t="s">
        <v>46</v>
      </c>
      <c r="Y621" t="s">
        <v>46</v>
      </c>
      <c r="Z621" t="s">
        <v>46</v>
      </c>
      <c r="AA621" t="s">
        <v>46</v>
      </c>
      <c r="AB621" s="2" t="s">
        <v>43</v>
      </c>
      <c r="AC621" t="s">
        <v>43</v>
      </c>
      <c r="AD621" t="s">
        <v>43</v>
      </c>
      <c r="AE621" t="s">
        <v>43</v>
      </c>
      <c r="AF621" t="s">
        <v>43</v>
      </c>
      <c r="AG621" t="s">
        <v>43</v>
      </c>
      <c r="AH621" s="2" t="s">
        <v>43</v>
      </c>
    </row>
    <row r="622" spans="1:34" ht="60">
      <c r="A622" s="6" t="s">
        <v>390</v>
      </c>
      <c r="B622" s="7">
        <v>46064</v>
      </c>
      <c r="C622" s="9" t="str">
        <f>HYPERLINK("https://eping.wto.org/en/Search?viewData= G/TBT/N/BDI/254/Add.1, G/TBT/N/KEN/1275/Add.1, G/TBT/N/RWA/684/Add.1, G/TBT/N/TZA/808/Add.1, G/TBT/N/UGA/1658/Add.1"," G/TBT/N/BDI/254/Add.1, G/TBT/N/KEN/1275/Add.1, G/TBT/N/RWA/684/Add.1, G/TBT/N/TZA/808/Add.1, G/TBT/N/UGA/1658/Add.1")</f>
        <v xml:space="preserve"> G/TBT/N/BDI/254/Add.1, G/TBT/N/KEN/1275/Add.1, G/TBT/N/RWA/684/Add.1, G/TBT/N/TZA/808/Add.1, G/TBT/N/UGA/1658/Add.1</v>
      </c>
      <c r="D622" s="8" t="s">
        <v>2882</v>
      </c>
      <c r="E622" s="8" t="s">
        <v>2883</v>
      </c>
      <c r="F622" s="8" t="s">
        <v>2884</v>
      </c>
      <c r="G622" s="8" t="s">
        <v>2885</v>
      </c>
      <c r="H622" s="8" t="s">
        <v>2826</v>
      </c>
      <c r="I622" s="8" t="s">
        <v>2834</v>
      </c>
      <c r="J622" s="8"/>
      <c r="K622" s="8" t="s">
        <v>1029</v>
      </c>
      <c r="L622" s="6"/>
      <c r="M622" s="7" t="s">
        <v>43</v>
      </c>
      <c r="N622" s="7"/>
      <c r="O622" s="7"/>
      <c r="P622" s="6" t="s">
        <v>44</v>
      </c>
      <c r="Q622" s="6"/>
      <c r="R622" t="str">
        <f>HYPERLINK("https://docs.wto.org/imrd/directdoc.asp?DDFDocuments/t/G/TBTN22/BDI254A1.docx", "https://docs.wto.org/imrd/directdoc.asp?DDFDocuments/t/G/TBTN22/BDI254A1.docx")</f>
        <v>https://docs.wto.org/imrd/directdoc.asp?DDFDocuments/t/G/TBTN22/BDI254A1.docx</v>
      </c>
      <c r="S622" t="str">
        <f>HYPERLINK("https://docs.wto.org/imrd/directdoc.asp?DDFDocuments/u/G/TBTN22/BDI254A1.docx", "https://docs.wto.org/imrd/directdoc.asp?DDFDocuments/u/G/TBTN22/BDI254A1.docx")</f>
        <v>https://docs.wto.org/imrd/directdoc.asp?DDFDocuments/u/G/TBTN22/BDI254A1.docx</v>
      </c>
      <c r="T622" t="str">
        <f>HYPERLINK("https://docs.wto.org/imrd/directdoc.asp?DDFDocuments/v/G/TBTN22/BDI254A1.docx", "https://docs.wto.org/imrd/directdoc.asp?DDFDocuments/v/G/TBTN22/BDI254A1.docx")</f>
        <v>https://docs.wto.org/imrd/directdoc.asp?DDFDocuments/v/G/TBTN22/BDI254A1.docx</v>
      </c>
      <c r="U622" t="s">
        <v>64</v>
      </c>
      <c r="V622" t="s">
        <v>46</v>
      </c>
      <c r="W622" t="s">
        <v>46</v>
      </c>
      <c r="X622" t="s">
        <v>46</v>
      </c>
      <c r="Y622" t="s">
        <v>46</v>
      </c>
      <c r="Z622" t="s">
        <v>46</v>
      </c>
      <c r="AA622" t="s">
        <v>46</v>
      </c>
      <c r="AB622" s="2" t="s">
        <v>43</v>
      </c>
      <c r="AC622" t="s">
        <v>43</v>
      </c>
      <c r="AD622" t="s">
        <v>43</v>
      </c>
      <c r="AE622" t="s">
        <v>43</v>
      </c>
      <c r="AF622" t="s">
        <v>43</v>
      </c>
      <c r="AG622" t="s">
        <v>43</v>
      </c>
      <c r="AH622" s="2" t="s">
        <v>43</v>
      </c>
    </row>
    <row r="623" spans="1:34" ht="60">
      <c r="A623" s="6" t="s">
        <v>390</v>
      </c>
      <c r="B623" s="7">
        <v>46064</v>
      </c>
      <c r="C623" s="9" t="str">
        <f>HYPERLINK("https://eping.wto.org/en/Search?viewData= G/TBT/N/BDI/281/Add.3, G/TBT/N/KEN/1315/Add.3, G/TBT/N/RWA/715/Add.3, G/TBT/N/TZA/834/Add.3, G/TBT/N/UGA/1689/Add.3"," G/TBT/N/BDI/281/Add.3, G/TBT/N/KEN/1315/Add.3, G/TBT/N/RWA/715/Add.3, G/TBT/N/TZA/834/Add.3, G/TBT/N/UGA/1689/Add.3")</f>
        <v xml:space="preserve"> G/TBT/N/BDI/281/Add.3, G/TBT/N/KEN/1315/Add.3, G/TBT/N/RWA/715/Add.3, G/TBT/N/TZA/834/Add.3, G/TBT/N/UGA/1689/Add.3</v>
      </c>
      <c r="D623" s="8" t="s">
        <v>2828</v>
      </c>
      <c r="E623" s="8" t="s">
        <v>2829</v>
      </c>
      <c r="F623" s="8" t="s">
        <v>2825</v>
      </c>
      <c r="G623" s="8" t="s">
        <v>43</v>
      </c>
      <c r="H623" s="8" t="s">
        <v>2826</v>
      </c>
      <c r="I623" s="8" t="s">
        <v>2834</v>
      </c>
      <c r="J623" s="8" t="s">
        <v>43</v>
      </c>
      <c r="K623" s="8" t="s">
        <v>1029</v>
      </c>
      <c r="L623" s="6"/>
      <c r="M623" s="7" t="s">
        <v>43</v>
      </c>
      <c r="N623" s="7"/>
      <c r="O623" s="7"/>
      <c r="P623" s="6" t="s">
        <v>44</v>
      </c>
      <c r="Q623" s="6"/>
      <c r="R623" t="str">
        <f>HYPERLINK("https://docs.wto.org/imrd/directdoc.asp?DDFDocuments/t/G/TBTN22/BDI281A3.docx", "https://docs.wto.org/imrd/directdoc.asp?DDFDocuments/t/G/TBTN22/BDI281A3.docx")</f>
        <v>https://docs.wto.org/imrd/directdoc.asp?DDFDocuments/t/G/TBTN22/BDI281A3.docx</v>
      </c>
      <c r="S623" t="str">
        <f>HYPERLINK("https://docs.wto.org/imrd/directdoc.asp?DDFDocuments/u/G/TBTN22/BDI281A3.docx", "https://docs.wto.org/imrd/directdoc.asp?DDFDocuments/u/G/TBTN22/BDI281A3.docx")</f>
        <v>https://docs.wto.org/imrd/directdoc.asp?DDFDocuments/u/G/TBTN22/BDI281A3.docx</v>
      </c>
      <c r="T623" t="str">
        <f>HYPERLINK("https://docs.wto.org/imrd/directdoc.asp?DDFDocuments/v/G/TBTN22/BDI281A3.docx", "https://docs.wto.org/imrd/directdoc.asp?DDFDocuments/v/G/TBTN22/BDI281A3.docx")</f>
        <v>https://docs.wto.org/imrd/directdoc.asp?DDFDocuments/v/G/TBTN22/BDI281A3.docx</v>
      </c>
      <c r="U623" t="s">
        <v>64</v>
      </c>
      <c r="V623" t="s">
        <v>46</v>
      </c>
      <c r="W623" t="s">
        <v>64</v>
      </c>
      <c r="X623" t="s">
        <v>46</v>
      </c>
      <c r="Y623" t="s">
        <v>46</v>
      </c>
      <c r="Z623" t="s">
        <v>46</v>
      </c>
      <c r="AA623" t="s">
        <v>46</v>
      </c>
      <c r="AB623" s="2" t="s">
        <v>43</v>
      </c>
      <c r="AC623" t="s">
        <v>43</v>
      </c>
      <c r="AD623" t="s">
        <v>43</v>
      </c>
      <c r="AE623" t="s">
        <v>43</v>
      </c>
      <c r="AF623" t="s">
        <v>43</v>
      </c>
      <c r="AG623" t="s">
        <v>43</v>
      </c>
      <c r="AH623" s="2" t="s">
        <v>43</v>
      </c>
    </row>
    <row r="624" spans="1:34" ht="45">
      <c r="A624" s="6" t="s">
        <v>390</v>
      </c>
      <c r="B624" s="7">
        <v>46064</v>
      </c>
      <c r="C624" s="9" t="str">
        <f>HYPERLINK("https://eping.wto.org/en/Search?viewData= G/TBT/N/TZA/1007/Add.1"," G/TBT/N/TZA/1007/Add.1")</f>
        <v xml:space="preserve"> G/TBT/N/TZA/1007/Add.1</v>
      </c>
      <c r="D624" s="8" t="s">
        <v>2886</v>
      </c>
      <c r="E624" s="8" t="s">
        <v>2887</v>
      </c>
      <c r="F624" s="8" t="s">
        <v>2880</v>
      </c>
      <c r="G624" s="8" t="s">
        <v>43</v>
      </c>
      <c r="H624" s="8" t="s">
        <v>2881</v>
      </c>
      <c r="I624" s="8" t="s">
        <v>739</v>
      </c>
      <c r="J624" s="8" t="s">
        <v>43</v>
      </c>
      <c r="K624" s="8" t="s">
        <v>43</v>
      </c>
      <c r="L624" s="6"/>
      <c r="M624" s="7" t="s">
        <v>43</v>
      </c>
      <c r="N624" s="7"/>
      <c r="O624" s="7"/>
      <c r="P624" s="6" t="s">
        <v>44</v>
      </c>
      <c r="Q624" s="6"/>
      <c r="R624" t="str">
        <f>HYPERLINK("https://docs.wto.org/imrd/directdoc.asp?DDFDocuments/t/G/TBTN23/TZA1007A1.docx", "https://docs.wto.org/imrd/directdoc.asp?DDFDocuments/t/G/TBTN23/TZA1007A1.docx")</f>
        <v>https://docs.wto.org/imrd/directdoc.asp?DDFDocuments/t/G/TBTN23/TZA1007A1.docx</v>
      </c>
      <c r="S624" t="str">
        <f>HYPERLINK("https://docs.wto.org/imrd/directdoc.asp?DDFDocuments/u/G/TBTN23/TZA1007A1.docx", "https://docs.wto.org/imrd/directdoc.asp?DDFDocuments/u/G/TBTN23/TZA1007A1.docx")</f>
        <v>https://docs.wto.org/imrd/directdoc.asp?DDFDocuments/u/G/TBTN23/TZA1007A1.docx</v>
      </c>
      <c r="T624" t="str">
        <f>HYPERLINK("https://docs.wto.org/imrd/directdoc.asp?DDFDocuments/v/G/TBTN23/TZA1007A1.docx", "https://docs.wto.org/imrd/directdoc.asp?DDFDocuments/v/G/TBTN23/TZA1007A1.docx")</f>
        <v>https://docs.wto.org/imrd/directdoc.asp?DDFDocuments/v/G/TBTN23/TZA1007A1.docx</v>
      </c>
      <c r="U624" t="s">
        <v>64</v>
      </c>
      <c r="V624" t="s">
        <v>46</v>
      </c>
      <c r="W624" t="s">
        <v>46</v>
      </c>
      <c r="X624" t="s">
        <v>46</v>
      </c>
      <c r="Y624" t="s">
        <v>46</v>
      </c>
      <c r="Z624" t="s">
        <v>46</v>
      </c>
      <c r="AA624" t="s">
        <v>46</v>
      </c>
      <c r="AB624" s="2" t="s">
        <v>43</v>
      </c>
      <c r="AC624" t="s">
        <v>43</v>
      </c>
      <c r="AD624" t="s">
        <v>43</v>
      </c>
      <c r="AE624" t="s">
        <v>43</v>
      </c>
      <c r="AF624" t="s">
        <v>43</v>
      </c>
      <c r="AG624" t="s">
        <v>43</v>
      </c>
      <c r="AH624" s="2" t="s">
        <v>43</v>
      </c>
    </row>
    <row r="625" spans="1:34" ht="90">
      <c r="A625" s="6" t="s">
        <v>577</v>
      </c>
      <c r="B625" s="7">
        <v>46064</v>
      </c>
      <c r="C625" s="9" t="str">
        <f>HYPERLINK("https://eping.wto.org/en/Search?viewData= G/TBT/N/BDI/454/Add.3, G/TBT/N/KEN/1559/Add.3, G/TBT/N/RWA/990/Add.3, G/TBT/N/TZA/1090/Add.3, G/TBT/N/UGA/1904/Add.3"," G/TBT/N/BDI/454/Add.3, G/TBT/N/KEN/1559/Add.3, G/TBT/N/RWA/990/Add.3, G/TBT/N/TZA/1090/Add.3, G/TBT/N/UGA/1904/Add.3")</f>
        <v xml:space="preserve"> G/TBT/N/BDI/454/Add.3, G/TBT/N/KEN/1559/Add.3, G/TBT/N/RWA/990/Add.3, G/TBT/N/TZA/1090/Add.3, G/TBT/N/UGA/1904/Add.3</v>
      </c>
      <c r="D625" s="8" t="s">
        <v>2859</v>
      </c>
      <c r="E625" s="8" t="s">
        <v>2860</v>
      </c>
      <c r="F625" s="8" t="s">
        <v>2819</v>
      </c>
      <c r="G625" s="8" t="s">
        <v>43</v>
      </c>
      <c r="H625" s="8" t="s">
        <v>2821</v>
      </c>
      <c r="I625" s="8" t="s">
        <v>2822</v>
      </c>
      <c r="J625" s="8" t="s">
        <v>43</v>
      </c>
      <c r="K625" s="8" t="s">
        <v>1029</v>
      </c>
      <c r="L625" s="6"/>
      <c r="M625" s="7" t="s">
        <v>43</v>
      </c>
      <c r="N625" s="7"/>
      <c r="O625" s="7"/>
      <c r="P625" s="6" t="s">
        <v>44</v>
      </c>
      <c r="Q625" s="6"/>
      <c r="R625" t="str">
        <f>HYPERLINK("https://docs.wto.org/imrd/directdoc.asp?DDFDocuments/t/G/TBTN24/BDI454A3.docx", "https://docs.wto.org/imrd/directdoc.asp?DDFDocuments/t/G/TBTN24/BDI454A3.docx")</f>
        <v>https://docs.wto.org/imrd/directdoc.asp?DDFDocuments/t/G/TBTN24/BDI454A3.docx</v>
      </c>
      <c r="S625" t="str">
        <f>HYPERLINK("https://docs.wto.org/imrd/directdoc.asp?DDFDocuments/u/G/TBTN24/BDI454A3.docx", "https://docs.wto.org/imrd/directdoc.asp?DDFDocuments/u/G/TBTN24/BDI454A3.docx")</f>
        <v>https://docs.wto.org/imrd/directdoc.asp?DDFDocuments/u/G/TBTN24/BDI454A3.docx</v>
      </c>
      <c r="T625" t="str">
        <f>HYPERLINK("https://docs.wto.org/imrd/directdoc.asp?DDFDocuments/v/G/TBTN24/BDI454A3.docx", "https://docs.wto.org/imrd/directdoc.asp?DDFDocuments/v/G/TBTN24/BDI454A3.docx")</f>
        <v>https://docs.wto.org/imrd/directdoc.asp?DDFDocuments/v/G/TBTN24/BDI454A3.docx</v>
      </c>
      <c r="U625" t="s">
        <v>64</v>
      </c>
      <c r="V625" t="s">
        <v>46</v>
      </c>
      <c r="W625" t="s">
        <v>46</v>
      </c>
      <c r="X625" t="s">
        <v>46</v>
      </c>
      <c r="Y625" t="s">
        <v>46</v>
      </c>
      <c r="Z625" t="s">
        <v>46</v>
      </c>
      <c r="AA625" t="s">
        <v>46</v>
      </c>
      <c r="AB625" s="2" t="s">
        <v>43</v>
      </c>
      <c r="AC625" t="s">
        <v>43</v>
      </c>
      <c r="AD625" t="s">
        <v>43</v>
      </c>
      <c r="AE625" t="s">
        <v>43</v>
      </c>
      <c r="AF625" t="s">
        <v>43</v>
      </c>
      <c r="AG625" t="s">
        <v>43</v>
      </c>
      <c r="AH625" s="2" t="s">
        <v>43</v>
      </c>
    </row>
    <row r="626" spans="1:34" ht="90">
      <c r="A626" s="6" t="s">
        <v>509</v>
      </c>
      <c r="B626" s="7">
        <v>46064</v>
      </c>
      <c r="C626" s="9" t="str">
        <f>HYPERLINK("https://eping.wto.org/en/Search?viewData= G/TBT/N/BDI/454/Add.3, G/TBT/N/KEN/1559/Add.3, G/TBT/N/RWA/990/Add.3, G/TBT/N/TZA/1090/Add.3, G/TBT/N/UGA/1904/Add.3"," G/TBT/N/BDI/454/Add.3, G/TBT/N/KEN/1559/Add.3, G/TBT/N/RWA/990/Add.3, G/TBT/N/TZA/1090/Add.3, G/TBT/N/UGA/1904/Add.3")</f>
        <v xml:space="preserve"> G/TBT/N/BDI/454/Add.3, G/TBT/N/KEN/1559/Add.3, G/TBT/N/RWA/990/Add.3, G/TBT/N/TZA/1090/Add.3, G/TBT/N/UGA/1904/Add.3</v>
      </c>
      <c r="D626" s="8" t="s">
        <v>2859</v>
      </c>
      <c r="E626" s="8" t="s">
        <v>2860</v>
      </c>
      <c r="F626" s="8" t="s">
        <v>2819</v>
      </c>
      <c r="G626" s="8" t="s">
        <v>43</v>
      </c>
      <c r="H626" s="8" t="s">
        <v>2821</v>
      </c>
      <c r="I626" s="8" t="s">
        <v>2822</v>
      </c>
      <c r="J626" s="8" t="s">
        <v>43</v>
      </c>
      <c r="K626" s="8" t="s">
        <v>1029</v>
      </c>
      <c r="L626" s="6"/>
      <c r="M626" s="7" t="s">
        <v>43</v>
      </c>
      <c r="N626" s="7"/>
      <c r="O626" s="7"/>
      <c r="P626" s="6" t="s">
        <v>44</v>
      </c>
      <c r="Q626" s="6"/>
      <c r="R626" t="str">
        <f>HYPERLINK("https://docs.wto.org/imrd/directdoc.asp?DDFDocuments/t/G/TBTN24/BDI454A3.docx", "https://docs.wto.org/imrd/directdoc.asp?DDFDocuments/t/G/TBTN24/BDI454A3.docx")</f>
        <v>https://docs.wto.org/imrd/directdoc.asp?DDFDocuments/t/G/TBTN24/BDI454A3.docx</v>
      </c>
      <c r="S626" t="str">
        <f>HYPERLINK("https://docs.wto.org/imrd/directdoc.asp?DDFDocuments/u/G/TBTN24/BDI454A3.docx", "https://docs.wto.org/imrd/directdoc.asp?DDFDocuments/u/G/TBTN24/BDI454A3.docx")</f>
        <v>https://docs.wto.org/imrd/directdoc.asp?DDFDocuments/u/G/TBTN24/BDI454A3.docx</v>
      </c>
      <c r="T626" t="str">
        <f>HYPERLINK("https://docs.wto.org/imrd/directdoc.asp?DDFDocuments/v/G/TBTN24/BDI454A3.docx", "https://docs.wto.org/imrd/directdoc.asp?DDFDocuments/v/G/TBTN24/BDI454A3.docx")</f>
        <v>https://docs.wto.org/imrd/directdoc.asp?DDFDocuments/v/G/TBTN24/BDI454A3.docx</v>
      </c>
      <c r="U626" t="s">
        <v>64</v>
      </c>
      <c r="V626" t="s">
        <v>46</v>
      </c>
      <c r="W626" t="s">
        <v>46</v>
      </c>
      <c r="X626" t="s">
        <v>46</v>
      </c>
      <c r="Y626" t="s">
        <v>46</v>
      </c>
      <c r="Z626" t="s">
        <v>46</v>
      </c>
      <c r="AA626" t="s">
        <v>46</v>
      </c>
      <c r="AB626" s="2" t="s">
        <v>43</v>
      </c>
      <c r="AC626" t="s">
        <v>43</v>
      </c>
      <c r="AD626" t="s">
        <v>43</v>
      </c>
      <c r="AE626" t="s">
        <v>43</v>
      </c>
      <c r="AF626" t="s">
        <v>43</v>
      </c>
      <c r="AG626" t="s">
        <v>43</v>
      </c>
      <c r="AH626" s="2" t="s">
        <v>43</v>
      </c>
    </row>
    <row r="627" spans="1:34" ht="90">
      <c r="A627" s="6" t="s">
        <v>124</v>
      </c>
      <c r="B627" s="7">
        <v>46064</v>
      </c>
      <c r="C627" s="9" t="str">
        <f>HYPERLINK("https://eping.wto.org/en/Search?viewData= G/TBT/N/BDI/285/Add.3, G/TBT/N/KEN/1319/Add.3, G/TBT/N/RWA/719/Add.3, G/TBT/N/TZA/838/Add.3, G/TBT/N/UGA/1693/Add.3"," G/TBT/N/BDI/285/Add.3, G/TBT/N/KEN/1319/Add.3, G/TBT/N/RWA/719/Add.3, G/TBT/N/TZA/838/Add.3, G/TBT/N/UGA/1693/Add.3")</f>
        <v xml:space="preserve"> G/TBT/N/BDI/285/Add.3, G/TBT/N/KEN/1319/Add.3, G/TBT/N/RWA/719/Add.3, G/TBT/N/TZA/838/Add.3, G/TBT/N/UGA/1693/Add.3</v>
      </c>
      <c r="D627" s="8" t="s">
        <v>2857</v>
      </c>
      <c r="E627" s="8" t="s">
        <v>2858</v>
      </c>
      <c r="F627" s="8" t="s">
        <v>2825</v>
      </c>
      <c r="G627" s="8" t="s">
        <v>43</v>
      </c>
      <c r="H627" s="8" t="s">
        <v>2826</v>
      </c>
      <c r="I627" s="8" t="s">
        <v>2827</v>
      </c>
      <c r="J627" s="8" t="s">
        <v>43</v>
      </c>
      <c r="K627" s="8" t="s">
        <v>1029</v>
      </c>
      <c r="L627" s="6"/>
      <c r="M627" s="7" t="s">
        <v>43</v>
      </c>
      <c r="N627" s="7"/>
      <c r="O627" s="7"/>
      <c r="P627" s="6" t="s">
        <v>44</v>
      </c>
      <c r="Q627" s="6"/>
      <c r="R627" t="str">
        <f>HYPERLINK("https://docs.wto.org/imrd/directdoc.asp?DDFDocuments/t/G/TBTN22/BDI285A3.docx", "https://docs.wto.org/imrd/directdoc.asp?DDFDocuments/t/G/TBTN22/BDI285A3.docx")</f>
        <v>https://docs.wto.org/imrd/directdoc.asp?DDFDocuments/t/G/TBTN22/BDI285A3.docx</v>
      </c>
      <c r="S627" t="str">
        <f>HYPERLINK("https://docs.wto.org/imrd/directdoc.asp?DDFDocuments/u/G/TBTN22/BDI285A3.docx", "https://docs.wto.org/imrd/directdoc.asp?DDFDocuments/u/G/TBTN22/BDI285A3.docx")</f>
        <v>https://docs.wto.org/imrd/directdoc.asp?DDFDocuments/u/G/TBTN22/BDI285A3.docx</v>
      </c>
      <c r="T627" t="str">
        <f>HYPERLINK("https://docs.wto.org/imrd/directdoc.asp?DDFDocuments/v/G/TBTN22/BDI285A3.docx", "https://docs.wto.org/imrd/directdoc.asp?DDFDocuments/v/G/TBTN22/BDI285A3.docx")</f>
        <v>https://docs.wto.org/imrd/directdoc.asp?DDFDocuments/v/G/TBTN22/BDI285A3.docx</v>
      </c>
      <c r="U627" t="s">
        <v>64</v>
      </c>
      <c r="V627" t="s">
        <v>46</v>
      </c>
      <c r="W627" t="s">
        <v>64</v>
      </c>
      <c r="X627" t="s">
        <v>46</v>
      </c>
      <c r="Y627" t="s">
        <v>46</v>
      </c>
      <c r="Z627" t="s">
        <v>46</v>
      </c>
      <c r="AA627" t="s">
        <v>46</v>
      </c>
      <c r="AB627" s="2" t="s">
        <v>43</v>
      </c>
      <c r="AC627" t="s">
        <v>43</v>
      </c>
      <c r="AD627" t="s">
        <v>43</v>
      </c>
      <c r="AE627" t="s">
        <v>43</v>
      </c>
      <c r="AF627" t="s">
        <v>43</v>
      </c>
      <c r="AG627" t="s">
        <v>43</v>
      </c>
      <c r="AH627" s="2" t="s">
        <v>43</v>
      </c>
    </row>
    <row r="628" spans="1:34" ht="75">
      <c r="A628" s="6" t="s">
        <v>124</v>
      </c>
      <c r="B628" s="7">
        <v>46064</v>
      </c>
      <c r="C628" s="9" t="str">
        <f>HYPERLINK("https://eping.wto.org/en/Search?viewData= G/TBT/N/KEN/1776/Add.1"," G/TBT/N/KEN/1776/Add.1")</f>
        <v xml:space="preserve"> G/TBT/N/KEN/1776/Add.1</v>
      </c>
      <c r="D628" s="8" t="s">
        <v>2888</v>
      </c>
      <c r="E628" s="8" t="s">
        <v>2889</v>
      </c>
      <c r="F628" s="8" t="s">
        <v>2867</v>
      </c>
      <c r="G628" s="8" t="s">
        <v>2890</v>
      </c>
      <c r="H628" s="8" t="s">
        <v>2868</v>
      </c>
      <c r="I628" s="8" t="s">
        <v>2869</v>
      </c>
      <c r="J628" s="8" t="s">
        <v>43</v>
      </c>
      <c r="K628" s="8" t="s">
        <v>1029</v>
      </c>
      <c r="L628" s="6"/>
      <c r="M628" s="7" t="s">
        <v>43</v>
      </c>
      <c r="N628" s="7"/>
      <c r="O628" s="7"/>
      <c r="P628" s="6" t="s">
        <v>44</v>
      </c>
      <c r="Q628" s="8" t="s">
        <v>2891</v>
      </c>
      <c r="R628" t="str">
        <f>HYPERLINK("https://docs.wto.org/imrd/directdoc.asp?DDFDocuments/t/G/TBTN25/KEN1776A1.docx", "https://docs.wto.org/imrd/directdoc.asp?DDFDocuments/t/G/TBTN25/KEN1776A1.docx")</f>
        <v>https://docs.wto.org/imrd/directdoc.asp?DDFDocuments/t/G/TBTN25/KEN1776A1.docx</v>
      </c>
      <c r="S628" t="str">
        <f>HYPERLINK("https://docs.wto.org/imrd/directdoc.asp?DDFDocuments/u/G/TBTN25/KEN1776A1.docx", "https://docs.wto.org/imrd/directdoc.asp?DDFDocuments/u/G/TBTN25/KEN1776A1.docx")</f>
        <v>https://docs.wto.org/imrd/directdoc.asp?DDFDocuments/u/G/TBTN25/KEN1776A1.docx</v>
      </c>
      <c r="T628" t="str">
        <f>HYPERLINK("https://docs.wto.org/imrd/directdoc.asp?DDFDocuments/v/G/TBTN25/KEN1776A1.docx", "https://docs.wto.org/imrd/directdoc.asp?DDFDocuments/v/G/TBTN25/KEN1776A1.docx")</f>
        <v>https://docs.wto.org/imrd/directdoc.asp?DDFDocuments/v/G/TBTN25/KEN1776A1.docx</v>
      </c>
      <c r="U628" t="s">
        <v>64</v>
      </c>
      <c r="V628" t="s">
        <v>46</v>
      </c>
      <c r="W628" t="s">
        <v>64</v>
      </c>
      <c r="X628" t="s">
        <v>46</v>
      </c>
      <c r="Y628" t="s">
        <v>46</v>
      </c>
      <c r="Z628" t="s">
        <v>46</v>
      </c>
      <c r="AA628" t="s">
        <v>46</v>
      </c>
      <c r="AB628" s="2" t="s">
        <v>43</v>
      </c>
      <c r="AC628" t="s">
        <v>43</v>
      </c>
      <c r="AD628" t="s">
        <v>43</v>
      </c>
      <c r="AE628" t="s">
        <v>43</v>
      </c>
      <c r="AF628" t="s">
        <v>43</v>
      </c>
      <c r="AG628" t="s">
        <v>43</v>
      </c>
      <c r="AH628" s="2" t="s">
        <v>43</v>
      </c>
    </row>
    <row r="629" spans="1:34" ht="270">
      <c r="A629" s="6" t="s">
        <v>96</v>
      </c>
      <c r="B629" s="7">
        <v>46064</v>
      </c>
      <c r="C629" s="9" t="str">
        <f>HYPERLINK("https://eping.wto.org/en/Search?viewData= G/TBT/N/ISR/1293/Rev.1/Add.1"," G/TBT/N/ISR/1293/Rev.1/Add.1")</f>
        <v xml:space="preserve"> G/TBT/N/ISR/1293/Rev.1/Add.1</v>
      </c>
      <c r="D629" s="8" t="s">
        <v>2892</v>
      </c>
      <c r="E629" s="8" t="s">
        <v>43</v>
      </c>
      <c r="F629" s="8" t="s">
        <v>2893</v>
      </c>
      <c r="G629" s="8" t="s">
        <v>2894</v>
      </c>
      <c r="H629" s="8" t="s">
        <v>2350</v>
      </c>
      <c r="I629" s="8" t="s">
        <v>1261</v>
      </c>
      <c r="J629" s="8" t="s">
        <v>43</v>
      </c>
      <c r="K629" s="8" t="s">
        <v>43</v>
      </c>
      <c r="L629" s="6"/>
      <c r="M629" s="7" t="s">
        <v>43</v>
      </c>
      <c r="N629" s="7"/>
      <c r="O629" s="7"/>
      <c r="P629" s="6" t="s">
        <v>44</v>
      </c>
      <c r="Q629" s="8" t="s">
        <v>2895</v>
      </c>
      <c r="R629" t="str">
        <f>HYPERLINK("https://docs.wto.org/imrd/directdoc.asp?DDFDocuments/t/G/TBTN23/ISR1293R1A1.docx", "https://docs.wto.org/imrd/directdoc.asp?DDFDocuments/t/G/TBTN23/ISR1293R1A1.docx")</f>
        <v>https://docs.wto.org/imrd/directdoc.asp?DDFDocuments/t/G/TBTN23/ISR1293R1A1.docx</v>
      </c>
      <c r="S629" t="str">
        <f>HYPERLINK("https://docs.wto.org/imrd/directdoc.asp?DDFDocuments/u/G/TBTN23/ISR1293R1A1.docx", "https://docs.wto.org/imrd/directdoc.asp?DDFDocuments/u/G/TBTN23/ISR1293R1A1.docx")</f>
        <v>https://docs.wto.org/imrd/directdoc.asp?DDFDocuments/u/G/TBTN23/ISR1293R1A1.docx</v>
      </c>
      <c r="T629" t="str">
        <f>HYPERLINK("https://docs.wto.org/imrd/directdoc.asp?DDFDocuments/v/G/TBTN23/ISR1293R1A1.docx", "https://docs.wto.org/imrd/directdoc.asp?DDFDocuments/v/G/TBTN23/ISR1293R1A1.docx")</f>
        <v>https://docs.wto.org/imrd/directdoc.asp?DDFDocuments/v/G/TBTN23/ISR1293R1A1.docx</v>
      </c>
      <c r="U629" t="s">
        <v>64</v>
      </c>
      <c r="V629" t="s">
        <v>46</v>
      </c>
      <c r="W629" t="s">
        <v>64</v>
      </c>
      <c r="X629" t="s">
        <v>46</v>
      </c>
      <c r="Y629" t="s">
        <v>46</v>
      </c>
      <c r="Z629" t="s">
        <v>46</v>
      </c>
      <c r="AA629" t="s">
        <v>46</v>
      </c>
      <c r="AB629" s="2" t="s">
        <v>43</v>
      </c>
      <c r="AC629" t="s">
        <v>43</v>
      </c>
      <c r="AD629" t="s">
        <v>43</v>
      </c>
      <c r="AE629" t="s">
        <v>43</v>
      </c>
      <c r="AF629" t="s">
        <v>43</v>
      </c>
      <c r="AG629" t="s">
        <v>43</v>
      </c>
      <c r="AH629" s="2" t="s">
        <v>43</v>
      </c>
    </row>
    <row r="630" spans="1:34" ht="45">
      <c r="A630" s="6" t="s">
        <v>390</v>
      </c>
      <c r="B630" s="7">
        <v>46064</v>
      </c>
      <c r="C630" s="9" t="str">
        <f>HYPERLINK("https://eping.wto.org/en/Search?viewData= G/TBT/N/TZA/1008/Add.1"," G/TBT/N/TZA/1008/Add.1")</f>
        <v xml:space="preserve"> G/TBT/N/TZA/1008/Add.1</v>
      </c>
      <c r="D630" s="8" t="s">
        <v>2896</v>
      </c>
      <c r="E630" s="8" t="s">
        <v>2897</v>
      </c>
      <c r="F630" s="8" t="s">
        <v>2880</v>
      </c>
      <c r="G630" s="8" t="s">
        <v>43</v>
      </c>
      <c r="H630" s="8" t="s">
        <v>2881</v>
      </c>
      <c r="I630" s="8" t="s">
        <v>739</v>
      </c>
      <c r="J630" s="8" t="s">
        <v>43</v>
      </c>
      <c r="K630" s="8" t="s">
        <v>43</v>
      </c>
      <c r="L630" s="6"/>
      <c r="M630" s="7" t="s">
        <v>43</v>
      </c>
      <c r="N630" s="7"/>
      <c r="O630" s="7"/>
      <c r="P630" s="6" t="s">
        <v>44</v>
      </c>
      <c r="Q630" s="6"/>
      <c r="R630" t="str">
        <f>HYPERLINK("https://docs.wto.org/imrd/directdoc.asp?DDFDocuments/t/G/TBTN23/TZA1008A1.docx", "https://docs.wto.org/imrd/directdoc.asp?DDFDocuments/t/G/TBTN23/TZA1008A1.docx")</f>
        <v>https://docs.wto.org/imrd/directdoc.asp?DDFDocuments/t/G/TBTN23/TZA1008A1.docx</v>
      </c>
      <c r="S630" t="str">
        <f>HYPERLINK("https://docs.wto.org/imrd/directdoc.asp?DDFDocuments/u/G/TBTN23/TZA1008A1.docx", "https://docs.wto.org/imrd/directdoc.asp?DDFDocuments/u/G/TBTN23/TZA1008A1.docx")</f>
        <v>https://docs.wto.org/imrd/directdoc.asp?DDFDocuments/u/G/TBTN23/TZA1008A1.docx</v>
      </c>
      <c r="T630" t="str">
        <f>HYPERLINK("https://docs.wto.org/imrd/directdoc.asp?DDFDocuments/v/G/TBTN23/TZA1008A1.docx", "https://docs.wto.org/imrd/directdoc.asp?DDFDocuments/v/G/TBTN23/TZA1008A1.docx")</f>
        <v>https://docs.wto.org/imrd/directdoc.asp?DDFDocuments/v/G/TBTN23/TZA1008A1.docx</v>
      </c>
      <c r="U630" t="s">
        <v>64</v>
      </c>
      <c r="V630" t="s">
        <v>46</v>
      </c>
      <c r="W630" t="s">
        <v>46</v>
      </c>
      <c r="X630" t="s">
        <v>46</v>
      </c>
      <c r="Y630" t="s">
        <v>46</v>
      </c>
      <c r="Z630" t="s">
        <v>46</v>
      </c>
      <c r="AA630" t="s">
        <v>46</v>
      </c>
      <c r="AB630" s="2" t="s">
        <v>43</v>
      </c>
      <c r="AC630" t="s">
        <v>43</v>
      </c>
      <c r="AD630" t="s">
        <v>43</v>
      </c>
      <c r="AE630" t="s">
        <v>43</v>
      </c>
      <c r="AF630" t="s">
        <v>43</v>
      </c>
      <c r="AG630" t="s">
        <v>43</v>
      </c>
      <c r="AH630" s="2" t="s">
        <v>43</v>
      </c>
    </row>
    <row r="631" spans="1:34" ht="90">
      <c r="A631" s="6" t="s">
        <v>124</v>
      </c>
      <c r="B631" s="7">
        <v>46064</v>
      </c>
      <c r="C631" s="9" t="str">
        <f>HYPERLINK("https://eping.wto.org/en/Search?viewData= G/TBT/N/BDI/216/Add.3, G/TBT/N/KEN/1225/Add.3, G/TBT/N/RWA/642/Add.3, G/TBT/N/TZA/717/Add.3, G/TBT/N/UGA/1549/Add.3"," G/TBT/N/BDI/216/Add.3, G/TBT/N/KEN/1225/Add.3, G/TBT/N/RWA/642/Add.3, G/TBT/N/TZA/717/Add.3, G/TBT/N/UGA/1549/Add.3")</f>
        <v xml:space="preserve"> G/TBT/N/BDI/216/Add.3, G/TBT/N/KEN/1225/Add.3, G/TBT/N/RWA/642/Add.3, G/TBT/N/TZA/717/Add.3, G/TBT/N/UGA/1549/Add.3</v>
      </c>
      <c r="D631" s="8" t="s">
        <v>2835</v>
      </c>
      <c r="E631" s="8" t="s">
        <v>2836</v>
      </c>
      <c r="F631" s="8" t="s">
        <v>2837</v>
      </c>
      <c r="G631" s="8" t="s">
        <v>43</v>
      </c>
      <c r="H631" s="8" t="s">
        <v>39</v>
      </c>
      <c r="I631" s="8" t="s">
        <v>2846</v>
      </c>
      <c r="J631" s="8" t="s">
        <v>43</v>
      </c>
      <c r="K631" s="8" t="s">
        <v>2847</v>
      </c>
      <c r="L631" s="6"/>
      <c r="M631" s="7" t="s">
        <v>43</v>
      </c>
      <c r="N631" s="7"/>
      <c r="O631" s="7"/>
      <c r="P631" s="6" t="s">
        <v>44</v>
      </c>
      <c r="Q631" s="6"/>
      <c r="R631" t="str">
        <f>HYPERLINK("https://docs.wto.org/imrd/directdoc.asp?DDFDocuments/t/G/TBTN22/BDI216A3.docx", "https://docs.wto.org/imrd/directdoc.asp?DDFDocuments/t/G/TBTN22/BDI216A3.docx")</f>
        <v>https://docs.wto.org/imrd/directdoc.asp?DDFDocuments/t/G/TBTN22/BDI216A3.docx</v>
      </c>
      <c r="S631" t="str">
        <f>HYPERLINK("https://docs.wto.org/imrd/directdoc.asp?DDFDocuments/u/G/TBTN22/BDI216A3.docx", "https://docs.wto.org/imrd/directdoc.asp?DDFDocuments/u/G/TBTN22/BDI216A3.docx")</f>
        <v>https://docs.wto.org/imrd/directdoc.asp?DDFDocuments/u/G/TBTN22/BDI216A3.docx</v>
      </c>
      <c r="T631" t="str">
        <f>HYPERLINK("https://docs.wto.org/imrd/directdoc.asp?DDFDocuments/v/G/TBTN22/BDI216A3.docx", "https://docs.wto.org/imrd/directdoc.asp?DDFDocuments/v/G/TBTN22/BDI216A3.docx")</f>
        <v>https://docs.wto.org/imrd/directdoc.asp?DDFDocuments/v/G/TBTN22/BDI216A3.docx</v>
      </c>
      <c r="U631" t="s">
        <v>64</v>
      </c>
      <c r="V631" t="s">
        <v>46</v>
      </c>
      <c r="W631" t="s">
        <v>46</v>
      </c>
      <c r="X631" t="s">
        <v>46</v>
      </c>
      <c r="Y631" t="s">
        <v>46</v>
      </c>
      <c r="Z631" t="s">
        <v>46</v>
      </c>
      <c r="AA631" t="s">
        <v>46</v>
      </c>
      <c r="AB631" s="2" t="s">
        <v>43</v>
      </c>
      <c r="AC631" t="s">
        <v>43</v>
      </c>
      <c r="AD631" t="s">
        <v>43</v>
      </c>
      <c r="AE631" t="s">
        <v>43</v>
      </c>
      <c r="AF631" t="s">
        <v>43</v>
      </c>
      <c r="AG631" t="s">
        <v>43</v>
      </c>
      <c r="AH631" s="2" t="s">
        <v>43</v>
      </c>
    </row>
    <row r="632" spans="1:34" ht="90">
      <c r="A632" s="6" t="s">
        <v>509</v>
      </c>
      <c r="B632" s="7">
        <v>46064</v>
      </c>
      <c r="C632" s="9" t="str">
        <f>HYPERLINK("https://eping.wto.org/en/Search?viewData= G/TBT/N/BDI/216/Add.3, G/TBT/N/KEN/1225/Add.3, G/TBT/N/RWA/642/Add.3, G/TBT/N/TZA/717/Add.3, G/TBT/N/UGA/1549/Add.3"," G/TBT/N/BDI/216/Add.3, G/TBT/N/KEN/1225/Add.3, G/TBT/N/RWA/642/Add.3, G/TBT/N/TZA/717/Add.3, G/TBT/N/UGA/1549/Add.3")</f>
        <v xml:space="preserve"> G/TBT/N/BDI/216/Add.3, G/TBT/N/KEN/1225/Add.3, G/TBT/N/RWA/642/Add.3, G/TBT/N/TZA/717/Add.3, G/TBT/N/UGA/1549/Add.3</v>
      </c>
      <c r="D632" s="8" t="s">
        <v>2835</v>
      </c>
      <c r="E632" s="8" t="s">
        <v>2836</v>
      </c>
      <c r="F632" s="8" t="s">
        <v>2837</v>
      </c>
      <c r="G632" s="8" t="s">
        <v>43</v>
      </c>
      <c r="H632" s="8" t="s">
        <v>39</v>
      </c>
      <c r="I632" s="8" t="s">
        <v>2846</v>
      </c>
      <c r="J632" s="8" t="s">
        <v>43</v>
      </c>
      <c r="K632" s="8" t="s">
        <v>2847</v>
      </c>
      <c r="L632" s="6"/>
      <c r="M632" s="7" t="s">
        <v>43</v>
      </c>
      <c r="N632" s="7"/>
      <c r="O632" s="7"/>
      <c r="P632" s="6" t="s">
        <v>44</v>
      </c>
      <c r="Q632" s="6"/>
      <c r="R632" t="str">
        <f>HYPERLINK("https://docs.wto.org/imrd/directdoc.asp?DDFDocuments/t/G/TBTN22/BDI216A3.docx", "https://docs.wto.org/imrd/directdoc.asp?DDFDocuments/t/G/TBTN22/BDI216A3.docx")</f>
        <v>https://docs.wto.org/imrd/directdoc.asp?DDFDocuments/t/G/TBTN22/BDI216A3.docx</v>
      </c>
      <c r="S632" t="str">
        <f>HYPERLINK("https://docs.wto.org/imrd/directdoc.asp?DDFDocuments/u/G/TBTN22/BDI216A3.docx", "https://docs.wto.org/imrd/directdoc.asp?DDFDocuments/u/G/TBTN22/BDI216A3.docx")</f>
        <v>https://docs.wto.org/imrd/directdoc.asp?DDFDocuments/u/G/TBTN22/BDI216A3.docx</v>
      </c>
      <c r="T632" t="str">
        <f>HYPERLINK("https://docs.wto.org/imrd/directdoc.asp?DDFDocuments/v/G/TBTN22/BDI216A3.docx", "https://docs.wto.org/imrd/directdoc.asp?DDFDocuments/v/G/TBTN22/BDI216A3.docx")</f>
        <v>https://docs.wto.org/imrd/directdoc.asp?DDFDocuments/v/G/TBTN22/BDI216A3.docx</v>
      </c>
      <c r="U632" t="s">
        <v>64</v>
      </c>
      <c r="V632" t="s">
        <v>46</v>
      </c>
      <c r="W632" t="s">
        <v>46</v>
      </c>
      <c r="X632" t="s">
        <v>46</v>
      </c>
      <c r="Y632" t="s">
        <v>46</v>
      </c>
      <c r="Z632" t="s">
        <v>46</v>
      </c>
      <c r="AA632" t="s">
        <v>46</v>
      </c>
      <c r="AB632" s="2" t="s">
        <v>43</v>
      </c>
      <c r="AC632" t="s">
        <v>43</v>
      </c>
      <c r="AD632" t="s">
        <v>43</v>
      </c>
      <c r="AE632" t="s">
        <v>43</v>
      </c>
      <c r="AF632" t="s">
        <v>43</v>
      </c>
      <c r="AG632" t="s">
        <v>43</v>
      </c>
      <c r="AH632" s="2" t="s">
        <v>43</v>
      </c>
    </row>
    <row r="633" spans="1:34" ht="90">
      <c r="A633" s="6" t="s">
        <v>108</v>
      </c>
      <c r="B633" s="7">
        <v>46064</v>
      </c>
      <c r="C633" s="9" t="str">
        <f>HYPERLINK("https://eping.wto.org/en/Search?viewData= G/TBT/N/BDI/254/Add.1, G/TBT/N/KEN/1275/Add.1, G/TBT/N/RWA/684/Add.1, G/TBT/N/TZA/808/Add.1, G/TBT/N/UGA/1658/Add.1"," G/TBT/N/BDI/254/Add.1, G/TBT/N/KEN/1275/Add.1, G/TBT/N/RWA/684/Add.1, G/TBT/N/TZA/808/Add.1, G/TBT/N/UGA/1658/Add.1")</f>
        <v xml:space="preserve"> G/TBT/N/BDI/254/Add.1, G/TBT/N/KEN/1275/Add.1, G/TBT/N/RWA/684/Add.1, G/TBT/N/TZA/808/Add.1, G/TBT/N/UGA/1658/Add.1</v>
      </c>
      <c r="D633" s="8" t="s">
        <v>2882</v>
      </c>
      <c r="E633" s="8" t="s">
        <v>2883</v>
      </c>
      <c r="F633" s="8" t="s">
        <v>2884</v>
      </c>
      <c r="G633" s="8" t="s">
        <v>2885</v>
      </c>
      <c r="H633" s="8" t="s">
        <v>2826</v>
      </c>
      <c r="I633" s="8" t="s">
        <v>2827</v>
      </c>
      <c r="J633" s="8"/>
      <c r="K633" s="8" t="s">
        <v>1029</v>
      </c>
      <c r="L633" s="6"/>
      <c r="M633" s="7" t="s">
        <v>43</v>
      </c>
      <c r="N633" s="7"/>
      <c r="O633" s="7"/>
      <c r="P633" s="6" t="s">
        <v>44</v>
      </c>
      <c r="Q633" s="6"/>
      <c r="R633" t="str">
        <f>HYPERLINK("https://docs.wto.org/imrd/directdoc.asp?DDFDocuments/t/G/TBTN22/BDI254A1.docx", "https://docs.wto.org/imrd/directdoc.asp?DDFDocuments/t/G/TBTN22/BDI254A1.docx")</f>
        <v>https://docs.wto.org/imrd/directdoc.asp?DDFDocuments/t/G/TBTN22/BDI254A1.docx</v>
      </c>
      <c r="S633" t="str">
        <f>HYPERLINK("https://docs.wto.org/imrd/directdoc.asp?DDFDocuments/u/G/TBTN22/BDI254A1.docx", "https://docs.wto.org/imrd/directdoc.asp?DDFDocuments/u/G/TBTN22/BDI254A1.docx")</f>
        <v>https://docs.wto.org/imrd/directdoc.asp?DDFDocuments/u/G/TBTN22/BDI254A1.docx</v>
      </c>
      <c r="T633" t="str">
        <f>HYPERLINK("https://docs.wto.org/imrd/directdoc.asp?DDFDocuments/v/G/TBTN22/BDI254A1.docx", "https://docs.wto.org/imrd/directdoc.asp?DDFDocuments/v/G/TBTN22/BDI254A1.docx")</f>
        <v>https://docs.wto.org/imrd/directdoc.asp?DDFDocuments/v/G/TBTN22/BDI254A1.docx</v>
      </c>
      <c r="U633" t="s">
        <v>64</v>
      </c>
      <c r="V633" t="s">
        <v>46</v>
      </c>
      <c r="W633" t="s">
        <v>46</v>
      </c>
      <c r="X633" t="s">
        <v>46</v>
      </c>
      <c r="Y633" t="s">
        <v>46</v>
      </c>
      <c r="Z633" t="s">
        <v>46</v>
      </c>
      <c r="AA633" t="s">
        <v>46</v>
      </c>
      <c r="AB633" s="2" t="s">
        <v>43</v>
      </c>
      <c r="AC633" t="s">
        <v>43</v>
      </c>
      <c r="AD633" t="s">
        <v>43</v>
      </c>
      <c r="AE633" t="s">
        <v>43</v>
      </c>
      <c r="AF633" t="s">
        <v>43</v>
      </c>
      <c r="AG633" t="s">
        <v>43</v>
      </c>
      <c r="AH633" s="2" t="s">
        <v>43</v>
      </c>
    </row>
    <row r="634" spans="1:34" ht="150">
      <c r="A634" s="6" t="s">
        <v>132</v>
      </c>
      <c r="B634" s="7">
        <v>46064</v>
      </c>
      <c r="C634" s="9" t="str">
        <f>HYPERLINK("https://eping.wto.org/en/Search?viewData= G/TBT/N/USA/2261"," G/TBT/N/USA/2261")</f>
        <v xml:space="preserve"> G/TBT/N/USA/2261</v>
      </c>
      <c r="D634" s="8" t="s">
        <v>2898</v>
      </c>
      <c r="E634" s="8" t="s">
        <v>2899</v>
      </c>
      <c r="F634" s="8" t="s">
        <v>2900</v>
      </c>
      <c r="G634" s="8" t="s">
        <v>43</v>
      </c>
      <c r="H634" s="8" t="s">
        <v>2901</v>
      </c>
      <c r="I634" s="8" t="s">
        <v>2902</v>
      </c>
      <c r="J634" s="8" t="s">
        <v>43</v>
      </c>
      <c r="K634" s="8" t="s">
        <v>43</v>
      </c>
      <c r="L634" s="6"/>
      <c r="M634" s="7">
        <v>46125</v>
      </c>
      <c r="N634" s="7" t="s">
        <v>79</v>
      </c>
      <c r="O634" s="7" t="s">
        <v>79</v>
      </c>
      <c r="P634" s="6" t="s">
        <v>62</v>
      </c>
      <c r="Q634" s="8" t="s">
        <v>2903</v>
      </c>
      <c r="R634" t="str">
        <f>HYPERLINK("https://docs.wto.org/imrd/directdoc.asp?DDFDocuments/t/G/TBTN26/USA2261.docx", "https://docs.wto.org/imrd/directdoc.asp?DDFDocuments/t/G/TBTN26/USA2261.docx")</f>
        <v>https://docs.wto.org/imrd/directdoc.asp?DDFDocuments/t/G/TBTN26/USA2261.docx</v>
      </c>
      <c r="S634" t="str">
        <f>HYPERLINK("https://docs.wto.org/imrd/directdoc.asp?DDFDocuments/u/G/TBTN26/USA2261.docx", "https://docs.wto.org/imrd/directdoc.asp?DDFDocuments/u/G/TBTN26/USA2261.docx")</f>
        <v>https://docs.wto.org/imrd/directdoc.asp?DDFDocuments/u/G/TBTN26/USA2261.docx</v>
      </c>
      <c r="T634" t="str">
        <f>HYPERLINK("https://docs.wto.org/imrd/directdoc.asp?DDFDocuments/v/G/TBTN26/USA2261.docx", "https://docs.wto.org/imrd/directdoc.asp?DDFDocuments/v/G/TBTN26/USA2261.docx")</f>
        <v>https://docs.wto.org/imrd/directdoc.asp?DDFDocuments/v/G/TBTN26/USA2261.docx</v>
      </c>
      <c r="U634" t="s">
        <v>64</v>
      </c>
      <c r="V634" t="s">
        <v>46</v>
      </c>
      <c r="W634" t="s">
        <v>46</v>
      </c>
      <c r="X634" t="s">
        <v>46</v>
      </c>
      <c r="Y634" t="s">
        <v>46</v>
      </c>
      <c r="Z634" t="s">
        <v>46</v>
      </c>
      <c r="AA634" t="s">
        <v>46</v>
      </c>
      <c r="AB634" s="2" t="s">
        <v>2904</v>
      </c>
      <c r="AC634" t="s">
        <v>43</v>
      </c>
      <c r="AD634" t="s">
        <v>43</v>
      </c>
      <c r="AE634" t="s">
        <v>43</v>
      </c>
      <c r="AF634" t="s">
        <v>43</v>
      </c>
      <c r="AG634" t="s">
        <v>43</v>
      </c>
      <c r="AH634" s="2" t="s">
        <v>43</v>
      </c>
    </row>
    <row r="635" spans="1:34" ht="30">
      <c r="A635" s="6" t="s">
        <v>96</v>
      </c>
      <c r="B635" s="7">
        <v>46064</v>
      </c>
      <c r="C635" s="9" t="str">
        <f>HYPERLINK("https://eping.wto.org/en/Search?viewData= G/TBT/N/ISR/1306/Add.1"," G/TBT/N/ISR/1306/Add.1")</f>
        <v xml:space="preserve"> G/TBT/N/ISR/1306/Add.1</v>
      </c>
      <c r="D635" s="8" t="s">
        <v>2905</v>
      </c>
      <c r="E635" s="8" t="s">
        <v>43</v>
      </c>
      <c r="F635" s="8" t="s">
        <v>2906</v>
      </c>
      <c r="G635" s="8" t="s">
        <v>2907</v>
      </c>
      <c r="H635" s="8" t="s">
        <v>2908</v>
      </c>
      <c r="I635" s="8" t="s">
        <v>275</v>
      </c>
      <c r="J635" s="8" t="s">
        <v>43</v>
      </c>
      <c r="K635" s="8" t="s">
        <v>43</v>
      </c>
      <c r="L635" s="6"/>
      <c r="M635" s="7" t="s">
        <v>43</v>
      </c>
      <c r="N635" s="7"/>
      <c r="O635" s="7"/>
      <c r="P635" s="6" t="s">
        <v>44</v>
      </c>
      <c r="Q635" s="8" t="s">
        <v>2909</v>
      </c>
      <c r="R635" t="str">
        <f>HYPERLINK("https://docs.wto.org/imrd/directdoc.asp?DDFDocuments/t/G/TBTN24/ISR1306A1.docx", "https://docs.wto.org/imrd/directdoc.asp?DDFDocuments/t/G/TBTN24/ISR1306A1.docx")</f>
        <v>https://docs.wto.org/imrd/directdoc.asp?DDFDocuments/t/G/TBTN24/ISR1306A1.docx</v>
      </c>
      <c r="S635" t="str">
        <f>HYPERLINK("https://docs.wto.org/imrd/directdoc.asp?DDFDocuments/u/G/TBTN24/ISR1306A1.docx", "https://docs.wto.org/imrd/directdoc.asp?DDFDocuments/u/G/TBTN24/ISR1306A1.docx")</f>
        <v>https://docs.wto.org/imrd/directdoc.asp?DDFDocuments/u/G/TBTN24/ISR1306A1.docx</v>
      </c>
      <c r="T635" t="str">
        <f>HYPERLINK("https://docs.wto.org/imrd/directdoc.asp?DDFDocuments/v/G/TBTN24/ISR1306A1.docx", "https://docs.wto.org/imrd/directdoc.asp?DDFDocuments/v/G/TBTN24/ISR1306A1.docx")</f>
        <v>https://docs.wto.org/imrd/directdoc.asp?DDFDocuments/v/G/TBTN24/ISR1306A1.docx</v>
      </c>
      <c r="U635" t="s">
        <v>64</v>
      </c>
      <c r="V635" t="s">
        <v>46</v>
      </c>
      <c r="W635" t="s">
        <v>46</v>
      </c>
      <c r="X635" t="s">
        <v>46</v>
      </c>
      <c r="Y635" t="s">
        <v>46</v>
      </c>
      <c r="Z635" t="s">
        <v>46</v>
      </c>
      <c r="AA635" t="s">
        <v>46</v>
      </c>
      <c r="AB635" s="2" t="s">
        <v>43</v>
      </c>
      <c r="AC635" t="s">
        <v>43</v>
      </c>
      <c r="AD635" t="s">
        <v>43</v>
      </c>
      <c r="AE635" t="s">
        <v>43</v>
      </c>
      <c r="AF635" t="s">
        <v>43</v>
      </c>
      <c r="AG635" t="s">
        <v>43</v>
      </c>
      <c r="AH635" s="2" t="s">
        <v>43</v>
      </c>
    </row>
    <row r="636" spans="1:34" ht="90">
      <c r="A636" s="6" t="s">
        <v>108</v>
      </c>
      <c r="B636" s="7">
        <v>46064</v>
      </c>
      <c r="C636" s="9" t="str">
        <f>HYPERLINK("https://eping.wto.org/en/Search?viewData= G/TBT/N/BDI/454/Add.3, G/TBT/N/KEN/1559/Add.3, G/TBT/N/RWA/990/Add.3, G/TBT/N/TZA/1090/Add.3, G/TBT/N/UGA/1904/Add.3"," G/TBT/N/BDI/454/Add.3, G/TBT/N/KEN/1559/Add.3, G/TBT/N/RWA/990/Add.3, G/TBT/N/TZA/1090/Add.3, G/TBT/N/UGA/1904/Add.3")</f>
        <v xml:space="preserve"> G/TBT/N/BDI/454/Add.3, G/TBT/N/KEN/1559/Add.3, G/TBT/N/RWA/990/Add.3, G/TBT/N/TZA/1090/Add.3, G/TBT/N/UGA/1904/Add.3</v>
      </c>
      <c r="D636" s="8" t="s">
        <v>2859</v>
      </c>
      <c r="E636" s="8" t="s">
        <v>2860</v>
      </c>
      <c r="F636" s="8" t="s">
        <v>2819</v>
      </c>
      <c r="G636" s="8" t="s">
        <v>43</v>
      </c>
      <c r="H636" s="8" t="s">
        <v>2821</v>
      </c>
      <c r="I636" s="8" t="s">
        <v>2822</v>
      </c>
      <c r="J636" s="8" t="s">
        <v>43</v>
      </c>
      <c r="K636" s="8" t="s">
        <v>1029</v>
      </c>
      <c r="L636" s="6"/>
      <c r="M636" s="7" t="s">
        <v>43</v>
      </c>
      <c r="N636" s="7"/>
      <c r="O636" s="7"/>
      <c r="P636" s="6" t="s">
        <v>44</v>
      </c>
      <c r="Q636" s="6"/>
      <c r="R636" t="str">
        <f>HYPERLINK("https://docs.wto.org/imrd/directdoc.asp?DDFDocuments/t/G/TBTN24/BDI454A3.docx", "https://docs.wto.org/imrd/directdoc.asp?DDFDocuments/t/G/TBTN24/BDI454A3.docx")</f>
        <v>https://docs.wto.org/imrd/directdoc.asp?DDFDocuments/t/G/TBTN24/BDI454A3.docx</v>
      </c>
      <c r="S636" t="str">
        <f>HYPERLINK("https://docs.wto.org/imrd/directdoc.asp?DDFDocuments/u/G/TBTN24/BDI454A3.docx", "https://docs.wto.org/imrd/directdoc.asp?DDFDocuments/u/G/TBTN24/BDI454A3.docx")</f>
        <v>https://docs.wto.org/imrd/directdoc.asp?DDFDocuments/u/G/TBTN24/BDI454A3.docx</v>
      </c>
      <c r="T636" t="str">
        <f>HYPERLINK("https://docs.wto.org/imrd/directdoc.asp?DDFDocuments/v/G/TBTN24/BDI454A3.docx", "https://docs.wto.org/imrd/directdoc.asp?DDFDocuments/v/G/TBTN24/BDI454A3.docx")</f>
        <v>https://docs.wto.org/imrd/directdoc.asp?DDFDocuments/v/G/TBTN24/BDI454A3.docx</v>
      </c>
      <c r="U636" t="s">
        <v>64</v>
      </c>
      <c r="V636" t="s">
        <v>46</v>
      </c>
      <c r="W636" t="s">
        <v>46</v>
      </c>
      <c r="X636" t="s">
        <v>46</v>
      </c>
      <c r="Y636" t="s">
        <v>46</v>
      </c>
      <c r="Z636" t="s">
        <v>46</v>
      </c>
      <c r="AA636" t="s">
        <v>46</v>
      </c>
      <c r="AB636" s="2" t="s">
        <v>43</v>
      </c>
      <c r="AC636" t="s">
        <v>43</v>
      </c>
      <c r="AD636" t="s">
        <v>43</v>
      </c>
      <c r="AE636" t="s">
        <v>43</v>
      </c>
      <c r="AF636" t="s">
        <v>43</v>
      </c>
      <c r="AG636" t="s">
        <v>43</v>
      </c>
      <c r="AH636" s="2" t="s">
        <v>43</v>
      </c>
    </row>
    <row r="637" spans="1:34" ht="105">
      <c r="A637" s="6" t="s">
        <v>577</v>
      </c>
      <c r="B637" s="7">
        <v>46064</v>
      </c>
      <c r="C637" s="9" t="str">
        <f>HYPERLINK("https://eping.wto.org/en/Search?viewData= G/SPS/N/BDI/30/Add.3, G/SPS/N/KEN/186/Add.3, G/SPS/N/RWA/23/Add.3, G/SPS/N/TZA/224/Add.3, G/SPS/N/UGA/226/Add.3"," G/SPS/N/BDI/30/Add.3, G/SPS/N/KEN/186/Add.3, G/SPS/N/RWA/23/Add.3, G/SPS/N/TZA/224/Add.3, G/SPS/N/UGA/226/Add.3")</f>
        <v xml:space="preserve"> G/SPS/N/BDI/30/Add.3, G/SPS/N/KEN/186/Add.3, G/SPS/N/RWA/23/Add.3, G/SPS/N/TZA/224/Add.3, G/SPS/N/UGA/226/Add.3</v>
      </c>
      <c r="D637" s="8" t="s">
        <v>2748</v>
      </c>
      <c r="E637" s="8" t="s">
        <v>2844</v>
      </c>
      <c r="F637" s="8" t="s">
        <v>2750</v>
      </c>
      <c r="G637" s="8" t="s">
        <v>2751</v>
      </c>
      <c r="H637" s="8" t="s">
        <v>2752</v>
      </c>
      <c r="I637" s="8" t="s">
        <v>58</v>
      </c>
      <c r="J637" s="8" t="s">
        <v>43</v>
      </c>
      <c r="K637" s="8" t="s">
        <v>2910</v>
      </c>
      <c r="L637" s="6"/>
      <c r="M637" s="7" t="s">
        <v>43</v>
      </c>
      <c r="N637" s="7"/>
      <c r="O637" s="7"/>
      <c r="P637" s="6" t="s">
        <v>44</v>
      </c>
      <c r="Q637" s="6"/>
      <c r="R637" t="str">
        <f>HYPERLINK("https://docs.wto.org/imrd/directdoc.asp?DDFDocuments/t/G/SPS/NBDI30A3.docx", "https://docs.wto.org/imrd/directdoc.asp?DDFDocuments/t/G/SPS/NBDI30A3.docx")</f>
        <v>https://docs.wto.org/imrd/directdoc.asp?DDFDocuments/t/G/SPS/NBDI30A3.docx</v>
      </c>
      <c r="S637" t="str">
        <f>HYPERLINK("https://docs.wto.org/imrd/directdoc.asp?DDFDocuments/u/G/SPS/NBDI30A3.docx", "https://docs.wto.org/imrd/directdoc.asp?DDFDocuments/u/G/SPS/NBDI30A3.docx")</f>
        <v>https://docs.wto.org/imrd/directdoc.asp?DDFDocuments/u/G/SPS/NBDI30A3.docx</v>
      </c>
      <c r="T637" t="str">
        <f>HYPERLINK("https://docs.wto.org/imrd/directdoc.asp?DDFDocuments/v/G/SPS/NBDI30A3.docx", "https://docs.wto.org/imrd/directdoc.asp?DDFDocuments/v/G/SPS/NBDI30A3.docx")</f>
        <v>https://docs.wto.org/imrd/directdoc.asp?DDFDocuments/v/G/SPS/NBDI30A3.docx</v>
      </c>
      <c r="U637" t="s">
        <v>43</v>
      </c>
      <c r="V637" t="s">
        <v>43</v>
      </c>
      <c r="W637" t="s">
        <v>43</v>
      </c>
      <c r="X637" t="s">
        <v>43</v>
      </c>
      <c r="Y637" t="s">
        <v>43</v>
      </c>
      <c r="Z637" t="s">
        <v>43</v>
      </c>
      <c r="AA637" t="s">
        <v>43</v>
      </c>
      <c r="AB637" s="2" t="s">
        <v>43</v>
      </c>
      <c r="AC637" t="s">
        <v>43</v>
      </c>
      <c r="AD637" t="s">
        <v>43</v>
      </c>
      <c r="AE637" t="s">
        <v>43</v>
      </c>
      <c r="AF637" t="s">
        <v>43</v>
      </c>
      <c r="AG637" t="s">
        <v>43</v>
      </c>
      <c r="AH637" s="2" t="s">
        <v>43</v>
      </c>
    </row>
    <row r="638" spans="1:34" ht="165">
      <c r="A638" s="6" t="s">
        <v>911</v>
      </c>
      <c r="B638" s="7">
        <v>46064</v>
      </c>
      <c r="C638" s="9" t="str">
        <f>HYPERLINK("https://eping.wto.org/en/Search?viewData= G/TBT/N/GTM/106"," G/TBT/N/GTM/106")</f>
        <v xml:space="preserve"> G/TBT/N/GTM/106</v>
      </c>
      <c r="D638" s="8" t="s">
        <v>2911</v>
      </c>
      <c r="E638" s="8" t="s">
        <v>2912</v>
      </c>
      <c r="F638" s="8" t="s">
        <v>2913</v>
      </c>
      <c r="G638" s="8" t="s">
        <v>2914</v>
      </c>
      <c r="H638" s="8" t="s">
        <v>43</v>
      </c>
      <c r="I638" s="8" t="s">
        <v>275</v>
      </c>
      <c r="J638" s="8" t="s">
        <v>2915</v>
      </c>
      <c r="K638" s="8" t="s">
        <v>43</v>
      </c>
      <c r="L638" s="6"/>
      <c r="M638" s="7">
        <v>46124</v>
      </c>
      <c r="N638" s="7">
        <v>46174</v>
      </c>
      <c r="O638" s="7">
        <v>46357</v>
      </c>
      <c r="P638" s="6" t="s">
        <v>62</v>
      </c>
      <c r="Q638" s="8" t="s">
        <v>2916</v>
      </c>
      <c r="R638" t="str">
        <f>HYPERLINK("https://docs.wto.org/imrd/directdoc.asp?DDFDocuments/t/G/TBTN26/GTM106.docx", "https://docs.wto.org/imrd/directdoc.asp?DDFDocuments/t/G/TBTN26/GTM106.docx")</f>
        <v>https://docs.wto.org/imrd/directdoc.asp?DDFDocuments/t/G/TBTN26/GTM106.docx</v>
      </c>
      <c r="S638" t="str">
        <f>HYPERLINK("https://docs.wto.org/imrd/directdoc.asp?DDFDocuments/u/G/TBTN26/GTM106.docx", "https://docs.wto.org/imrd/directdoc.asp?DDFDocuments/u/G/TBTN26/GTM106.docx")</f>
        <v>https://docs.wto.org/imrd/directdoc.asp?DDFDocuments/u/G/TBTN26/GTM106.docx</v>
      </c>
      <c r="T638" t="str">
        <f>HYPERLINK("https://docs.wto.org/imrd/directdoc.asp?DDFDocuments/v/G/TBTN26/GTM106.docx", "https://docs.wto.org/imrd/directdoc.asp?DDFDocuments/v/G/TBTN26/GTM106.docx")</f>
        <v>https://docs.wto.org/imrd/directdoc.asp?DDFDocuments/v/G/TBTN26/GTM106.docx</v>
      </c>
      <c r="U638" t="s">
        <v>64</v>
      </c>
      <c r="V638" t="s">
        <v>46</v>
      </c>
      <c r="W638" t="s">
        <v>46</v>
      </c>
      <c r="X638" t="s">
        <v>46</v>
      </c>
      <c r="Y638" t="s">
        <v>46</v>
      </c>
      <c r="Z638" t="s">
        <v>46</v>
      </c>
      <c r="AA638" t="s">
        <v>46</v>
      </c>
      <c r="AB638" s="2" t="s">
        <v>2917</v>
      </c>
      <c r="AC638" t="s">
        <v>43</v>
      </c>
      <c r="AD638" t="s">
        <v>43</v>
      </c>
      <c r="AE638" t="s">
        <v>43</v>
      </c>
      <c r="AF638" t="s">
        <v>43</v>
      </c>
      <c r="AG638" t="s">
        <v>43</v>
      </c>
      <c r="AH638" s="2" t="s">
        <v>43</v>
      </c>
    </row>
    <row r="639" spans="1:34" ht="150">
      <c r="A639" s="6" t="s">
        <v>132</v>
      </c>
      <c r="B639" s="7">
        <v>46064</v>
      </c>
      <c r="C639" s="9" t="str">
        <f>HYPERLINK("https://eping.wto.org/en/Search?viewData= G/TBT/N/USA/2260"," G/TBT/N/USA/2260")</f>
        <v xml:space="preserve"> G/TBT/N/USA/2260</v>
      </c>
      <c r="D639" s="8" t="s">
        <v>2918</v>
      </c>
      <c r="E639" s="8" t="s">
        <v>2919</v>
      </c>
      <c r="F639" s="8" t="s">
        <v>2920</v>
      </c>
      <c r="G639" s="8" t="s">
        <v>43</v>
      </c>
      <c r="H639" s="8" t="s">
        <v>562</v>
      </c>
      <c r="I639" s="8" t="s">
        <v>2921</v>
      </c>
      <c r="J639" s="8" t="s">
        <v>43</v>
      </c>
      <c r="K639" s="8" t="s">
        <v>43</v>
      </c>
      <c r="L639" s="6"/>
      <c r="M639" s="7">
        <v>46105</v>
      </c>
      <c r="N639" s="7" t="s">
        <v>79</v>
      </c>
      <c r="O639" s="7" t="s">
        <v>79</v>
      </c>
      <c r="P639" s="6" t="s">
        <v>62</v>
      </c>
      <c r="Q639" s="8" t="s">
        <v>2922</v>
      </c>
      <c r="R639" t="str">
        <f>HYPERLINK("https://docs.wto.org/imrd/directdoc.asp?DDFDocuments/t/G/TBTN26/USA2260.docx", "https://docs.wto.org/imrd/directdoc.asp?DDFDocuments/t/G/TBTN26/USA2260.docx")</f>
        <v>https://docs.wto.org/imrd/directdoc.asp?DDFDocuments/t/G/TBTN26/USA2260.docx</v>
      </c>
      <c r="S639" t="str">
        <f>HYPERLINK("https://docs.wto.org/imrd/directdoc.asp?DDFDocuments/u/G/TBTN26/USA2260.docx", "https://docs.wto.org/imrd/directdoc.asp?DDFDocuments/u/G/TBTN26/USA2260.docx")</f>
        <v>https://docs.wto.org/imrd/directdoc.asp?DDFDocuments/u/G/TBTN26/USA2260.docx</v>
      </c>
      <c r="T639" t="str">
        <f>HYPERLINK("https://docs.wto.org/imrd/directdoc.asp?DDFDocuments/v/G/TBTN26/USA2260.docx", "https://docs.wto.org/imrd/directdoc.asp?DDFDocuments/v/G/TBTN26/USA2260.docx")</f>
        <v>https://docs.wto.org/imrd/directdoc.asp?DDFDocuments/v/G/TBTN26/USA2260.docx</v>
      </c>
      <c r="U639" t="s">
        <v>46</v>
      </c>
      <c r="V639" t="s">
        <v>46</v>
      </c>
      <c r="W639" t="s">
        <v>46</v>
      </c>
      <c r="X639" t="s">
        <v>46</v>
      </c>
      <c r="Y639" t="s">
        <v>46</v>
      </c>
      <c r="Z639" t="s">
        <v>46</v>
      </c>
      <c r="AA639" t="s">
        <v>64</v>
      </c>
      <c r="AB639" s="2" t="s">
        <v>2923</v>
      </c>
      <c r="AC639" t="s">
        <v>43</v>
      </c>
      <c r="AD639" t="s">
        <v>43</v>
      </c>
      <c r="AE639" t="s">
        <v>43</v>
      </c>
      <c r="AF639" t="s">
        <v>43</v>
      </c>
      <c r="AG639" t="s">
        <v>43</v>
      </c>
      <c r="AH639" s="2" t="s">
        <v>43</v>
      </c>
    </row>
    <row r="640" spans="1:34" ht="90">
      <c r="A640" s="6" t="s">
        <v>390</v>
      </c>
      <c r="B640" s="7">
        <v>46064</v>
      </c>
      <c r="C640" s="9" t="str">
        <f>HYPERLINK("https://eping.wto.org/en/Search?viewData= G/TBT/N/BDI/454/Add.3, G/TBT/N/KEN/1559/Add.3, G/TBT/N/RWA/990/Add.3, G/TBT/N/TZA/1090/Add.3, G/TBT/N/UGA/1904/Add.3"," G/TBT/N/BDI/454/Add.3, G/TBT/N/KEN/1559/Add.3, G/TBT/N/RWA/990/Add.3, G/TBT/N/TZA/1090/Add.3, G/TBT/N/UGA/1904/Add.3")</f>
        <v xml:space="preserve"> G/TBT/N/BDI/454/Add.3, G/TBT/N/KEN/1559/Add.3, G/TBT/N/RWA/990/Add.3, G/TBT/N/TZA/1090/Add.3, G/TBT/N/UGA/1904/Add.3</v>
      </c>
      <c r="D640" s="8" t="s">
        <v>2859</v>
      </c>
      <c r="E640" s="8" t="s">
        <v>2860</v>
      </c>
      <c r="F640" s="8" t="s">
        <v>2819</v>
      </c>
      <c r="G640" s="8" t="s">
        <v>43</v>
      </c>
      <c r="H640" s="8" t="s">
        <v>2821</v>
      </c>
      <c r="I640" s="8" t="s">
        <v>2822</v>
      </c>
      <c r="J640" s="8" t="s">
        <v>43</v>
      </c>
      <c r="K640" s="8" t="s">
        <v>1029</v>
      </c>
      <c r="L640" s="6"/>
      <c r="M640" s="7" t="s">
        <v>43</v>
      </c>
      <c r="N640" s="7"/>
      <c r="O640" s="7"/>
      <c r="P640" s="6" t="s">
        <v>44</v>
      </c>
      <c r="Q640" s="6"/>
      <c r="R640" t="str">
        <f>HYPERLINK("https://docs.wto.org/imrd/directdoc.asp?DDFDocuments/t/G/TBTN24/BDI454A3.docx", "https://docs.wto.org/imrd/directdoc.asp?DDFDocuments/t/G/TBTN24/BDI454A3.docx")</f>
        <v>https://docs.wto.org/imrd/directdoc.asp?DDFDocuments/t/G/TBTN24/BDI454A3.docx</v>
      </c>
      <c r="S640" t="str">
        <f>HYPERLINK("https://docs.wto.org/imrd/directdoc.asp?DDFDocuments/u/G/TBTN24/BDI454A3.docx", "https://docs.wto.org/imrd/directdoc.asp?DDFDocuments/u/G/TBTN24/BDI454A3.docx")</f>
        <v>https://docs.wto.org/imrd/directdoc.asp?DDFDocuments/u/G/TBTN24/BDI454A3.docx</v>
      </c>
      <c r="T640" t="str">
        <f>HYPERLINK("https://docs.wto.org/imrd/directdoc.asp?DDFDocuments/v/G/TBTN24/BDI454A3.docx", "https://docs.wto.org/imrd/directdoc.asp?DDFDocuments/v/G/TBTN24/BDI454A3.docx")</f>
        <v>https://docs.wto.org/imrd/directdoc.asp?DDFDocuments/v/G/TBTN24/BDI454A3.docx</v>
      </c>
      <c r="U640" t="s">
        <v>64</v>
      </c>
      <c r="V640" t="s">
        <v>46</v>
      </c>
      <c r="W640" t="s">
        <v>46</v>
      </c>
      <c r="X640" t="s">
        <v>46</v>
      </c>
      <c r="Y640" t="s">
        <v>46</v>
      </c>
      <c r="Z640" t="s">
        <v>46</v>
      </c>
      <c r="AA640" t="s">
        <v>46</v>
      </c>
      <c r="AB640" s="2" t="s">
        <v>43</v>
      </c>
      <c r="AC640" t="s">
        <v>43</v>
      </c>
      <c r="AD640" t="s">
        <v>43</v>
      </c>
      <c r="AE640" t="s">
        <v>43</v>
      </c>
      <c r="AF640" t="s">
        <v>43</v>
      </c>
      <c r="AG640" t="s">
        <v>43</v>
      </c>
      <c r="AH640" s="2" t="s">
        <v>43</v>
      </c>
    </row>
    <row r="641" spans="1:34" ht="90">
      <c r="A641" s="6" t="s">
        <v>108</v>
      </c>
      <c r="B641" s="7">
        <v>46064</v>
      </c>
      <c r="C641" s="9" t="str">
        <f>HYPERLINK("https://eping.wto.org/en/Search?viewData= G/TBT/N/BDI/451/Add.3, G/TBT/N/KEN/1556/Add.3, G/TBT/N/RWA/986/Add.3, G/TBT/N/TZA/1087/Add.3, G/TBT/N/UGA/1901/Add.3"," G/TBT/N/BDI/451/Add.3, G/TBT/N/KEN/1556/Add.3, G/TBT/N/RWA/986/Add.3, G/TBT/N/TZA/1087/Add.3, G/TBT/N/UGA/1901/Add.3")</f>
        <v xml:space="preserve"> G/TBT/N/BDI/451/Add.3, G/TBT/N/KEN/1556/Add.3, G/TBT/N/RWA/986/Add.3, G/TBT/N/TZA/1087/Add.3, G/TBT/N/UGA/1901/Add.3</v>
      </c>
      <c r="D641" s="8" t="s">
        <v>2817</v>
      </c>
      <c r="E641" s="8" t="s">
        <v>2818</v>
      </c>
      <c r="F641" s="8" t="s">
        <v>2819</v>
      </c>
      <c r="G641" s="8" t="s">
        <v>2820</v>
      </c>
      <c r="H641" s="8" t="s">
        <v>2821</v>
      </c>
      <c r="I641" s="8" t="s">
        <v>2822</v>
      </c>
      <c r="J641" s="8" t="s">
        <v>43</v>
      </c>
      <c r="K641" s="8" t="s">
        <v>1029</v>
      </c>
      <c r="L641" s="6"/>
      <c r="M641" s="7" t="s">
        <v>43</v>
      </c>
      <c r="N641" s="7"/>
      <c r="O641" s="7"/>
      <c r="P641" s="6" t="s">
        <v>44</v>
      </c>
      <c r="Q641" s="6"/>
      <c r="R641" t="str">
        <f>HYPERLINK("https://docs.wto.org/imrd/directdoc.asp?DDFDocuments/t/G/TBTN24/BDI451A3.docx", "https://docs.wto.org/imrd/directdoc.asp?DDFDocuments/t/G/TBTN24/BDI451A3.docx")</f>
        <v>https://docs.wto.org/imrd/directdoc.asp?DDFDocuments/t/G/TBTN24/BDI451A3.docx</v>
      </c>
      <c r="S641" t="str">
        <f>HYPERLINK("https://docs.wto.org/imrd/directdoc.asp?DDFDocuments/u/G/TBTN24/BDI451A3.docx", "https://docs.wto.org/imrd/directdoc.asp?DDFDocuments/u/G/TBTN24/BDI451A3.docx")</f>
        <v>https://docs.wto.org/imrd/directdoc.asp?DDFDocuments/u/G/TBTN24/BDI451A3.docx</v>
      </c>
      <c r="T641" t="str">
        <f>HYPERLINK("https://docs.wto.org/imrd/directdoc.asp?DDFDocuments/v/G/TBTN24/BDI451A3.docx", "https://docs.wto.org/imrd/directdoc.asp?DDFDocuments/v/G/TBTN24/BDI451A3.docx")</f>
        <v>https://docs.wto.org/imrd/directdoc.asp?DDFDocuments/v/G/TBTN24/BDI451A3.docx</v>
      </c>
      <c r="U641" t="s">
        <v>64</v>
      </c>
      <c r="V641" t="s">
        <v>46</v>
      </c>
      <c r="W641" t="s">
        <v>46</v>
      </c>
      <c r="X641" t="s">
        <v>46</v>
      </c>
      <c r="Y641" t="s">
        <v>46</v>
      </c>
      <c r="Z641" t="s">
        <v>46</v>
      </c>
      <c r="AA641" t="s">
        <v>46</v>
      </c>
      <c r="AB641" s="2" t="s">
        <v>43</v>
      </c>
      <c r="AC641" t="s">
        <v>43</v>
      </c>
      <c r="AD641" t="s">
        <v>43</v>
      </c>
      <c r="AE641" t="s">
        <v>43</v>
      </c>
      <c r="AF641" t="s">
        <v>43</v>
      </c>
      <c r="AG641" t="s">
        <v>43</v>
      </c>
      <c r="AH641" s="2" t="s">
        <v>43</v>
      </c>
    </row>
    <row r="642" spans="1:34" ht="90">
      <c r="A642" s="6" t="s">
        <v>577</v>
      </c>
      <c r="B642" s="7">
        <v>46064</v>
      </c>
      <c r="C642" s="9" t="str">
        <f>HYPERLINK("https://eping.wto.org/en/Search?viewData= G/TBT/N/BDI/285/Add.3, G/TBT/N/KEN/1319/Add.3, G/TBT/N/RWA/719/Add.3, G/TBT/N/TZA/838/Add.3, G/TBT/N/UGA/1693/Add.3"," G/TBT/N/BDI/285/Add.3, G/TBT/N/KEN/1319/Add.3, G/TBT/N/RWA/719/Add.3, G/TBT/N/TZA/838/Add.3, G/TBT/N/UGA/1693/Add.3")</f>
        <v xml:space="preserve"> G/TBT/N/BDI/285/Add.3, G/TBT/N/KEN/1319/Add.3, G/TBT/N/RWA/719/Add.3, G/TBT/N/TZA/838/Add.3, G/TBT/N/UGA/1693/Add.3</v>
      </c>
      <c r="D642" s="8" t="s">
        <v>2857</v>
      </c>
      <c r="E642" s="8" t="s">
        <v>2858</v>
      </c>
      <c r="F642" s="8" t="s">
        <v>2825</v>
      </c>
      <c r="G642" s="8" t="s">
        <v>43</v>
      </c>
      <c r="H642" s="8" t="s">
        <v>2826</v>
      </c>
      <c r="I642" s="8" t="s">
        <v>2827</v>
      </c>
      <c r="J642" s="8" t="s">
        <v>43</v>
      </c>
      <c r="K642" s="8" t="s">
        <v>1029</v>
      </c>
      <c r="L642" s="6"/>
      <c r="M642" s="7" t="s">
        <v>43</v>
      </c>
      <c r="N642" s="7"/>
      <c r="O642" s="7"/>
      <c r="P642" s="6" t="s">
        <v>44</v>
      </c>
      <c r="Q642" s="6"/>
      <c r="R642" t="str">
        <f>HYPERLINK("https://docs.wto.org/imrd/directdoc.asp?DDFDocuments/t/G/TBTN22/BDI285A3.docx", "https://docs.wto.org/imrd/directdoc.asp?DDFDocuments/t/G/TBTN22/BDI285A3.docx")</f>
        <v>https://docs.wto.org/imrd/directdoc.asp?DDFDocuments/t/G/TBTN22/BDI285A3.docx</v>
      </c>
      <c r="S642" t="str">
        <f>HYPERLINK("https://docs.wto.org/imrd/directdoc.asp?DDFDocuments/u/G/TBTN22/BDI285A3.docx", "https://docs.wto.org/imrd/directdoc.asp?DDFDocuments/u/G/TBTN22/BDI285A3.docx")</f>
        <v>https://docs.wto.org/imrd/directdoc.asp?DDFDocuments/u/G/TBTN22/BDI285A3.docx</v>
      </c>
      <c r="T642" t="str">
        <f>HYPERLINK("https://docs.wto.org/imrd/directdoc.asp?DDFDocuments/v/G/TBTN22/BDI285A3.docx", "https://docs.wto.org/imrd/directdoc.asp?DDFDocuments/v/G/TBTN22/BDI285A3.docx")</f>
        <v>https://docs.wto.org/imrd/directdoc.asp?DDFDocuments/v/G/TBTN22/BDI285A3.docx</v>
      </c>
      <c r="U642" t="s">
        <v>64</v>
      </c>
      <c r="V642" t="s">
        <v>46</v>
      </c>
      <c r="W642" t="s">
        <v>64</v>
      </c>
      <c r="X642" t="s">
        <v>46</v>
      </c>
      <c r="Y642" t="s">
        <v>46</v>
      </c>
      <c r="Z642" t="s">
        <v>46</v>
      </c>
      <c r="AA642" t="s">
        <v>46</v>
      </c>
      <c r="AB642" s="2" t="s">
        <v>43</v>
      </c>
      <c r="AC642" t="s">
        <v>43</v>
      </c>
      <c r="AD642" t="s">
        <v>43</v>
      </c>
      <c r="AE642" t="s">
        <v>43</v>
      </c>
      <c r="AF642" t="s">
        <v>43</v>
      </c>
      <c r="AG642" t="s">
        <v>43</v>
      </c>
      <c r="AH642" s="2" t="s">
        <v>43</v>
      </c>
    </row>
    <row r="643" spans="1:34" ht="90">
      <c r="A643" s="6" t="s">
        <v>577</v>
      </c>
      <c r="B643" s="7">
        <v>46064</v>
      </c>
      <c r="C643" s="9" t="str">
        <f>HYPERLINK("https://eping.wto.org/en/Search?viewData= G/TBT/N/BDI/254/Add.1, G/TBT/N/KEN/1275/Add.1, G/TBT/N/RWA/684/Add.1, G/TBT/N/TZA/808/Add.1, G/TBT/N/UGA/1658/Add.1"," G/TBT/N/BDI/254/Add.1, G/TBT/N/KEN/1275/Add.1, G/TBT/N/RWA/684/Add.1, G/TBT/N/TZA/808/Add.1, G/TBT/N/UGA/1658/Add.1")</f>
        <v xml:space="preserve"> G/TBT/N/BDI/254/Add.1, G/TBT/N/KEN/1275/Add.1, G/TBT/N/RWA/684/Add.1, G/TBT/N/TZA/808/Add.1, G/TBT/N/UGA/1658/Add.1</v>
      </c>
      <c r="D643" s="8" t="s">
        <v>2882</v>
      </c>
      <c r="E643" s="8" t="s">
        <v>2883</v>
      </c>
      <c r="F643" s="8" t="s">
        <v>2884</v>
      </c>
      <c r="G643" s="8" t="s">
        <v>2885</v>
      </c>
      <c r="H643" s="8" t="s">
        <v>2826</v>
      </c>
      <c r="I643" s="8" t="s">
        <v>2827</v>
      </c>
      <c r="J643" s="8"/>
      <c r="K643" s="8" t="s">
        <v>1029</v>
      </c>
      <c r="L643" s="6"/>
      <c r="M643" s="7" t="s">
        <v>43</v>
      </c>
      <c r="N643" s="7"/>
      <c r="O643" s="7"/>
      <c r="P643" s="6" t="s">
        <v>44</v>
      </c>
      <c r="Q643" s="6"/>
      <c r="R643" t="str">
        <f>HYPERLINK("https://docs.wto.org/imrd/directdoc.asp?DDFDocuments/t/G/TBTN22/BDI254A1.docx", "https://docs.wto.org/imrd/directdoc.asp?DDFDocuments/t/G/TBTN22/BDI254A1.docx")</f>
        <v>https://docs.wto.org/imrd/directdoc.asp?DDFDocuments/t/G/TBTN22/BDI254A1.docx</v>
      </c>
      <c r="S643" t="str">
        <f>HYPERLINK("https://docs.wto.org/imrd/directdoc.asp?DDFDocuments/u/G/TBTN22/BDI254A1.docx", "https://docs.wto.org/imrd/directdoc.asp?DDFDocuments/u/G/TBTN22/BDI254A1.docx")</f>
        <v>https://docs.wto.org/imrd/directdoc.asp?DDFDocuments/u/G/TBTN22/BDI254A1.docx</v>
      </c>
      <c r="T643" t="str">
        <f>HYPERLINK("https://docs.wto.org/imrd/directdoc.asp?DDFDocuments/v/G/TBTN22/BDI254A1.docx", "https://docs.wto.org/imrd/directdoc.asp?DDFDocuments/v/G/TBTN22/BDI254A1.docx")</f>
        <v>https://docs.wto.org/imrd/directdoc.asp?DDFDocuments/v/G/TBTN22/BDI254A1.docx</v>
      </c>
      <c r="U643" t="s">
        <v>64</v>
      </c>
      <c r="V643" t="s">
        <v>46</v>
      </c>
      <c r="W643" t="s">
        <v>46</v>
      </c>
      <c r="X643" t="s">
        <v>46</v>
      </c>
      <c r="Y643" t="s">
        <v>46</v>
      </c>
      <c r="Z643" t="s">
        <v>46</v>
      </c>
      <c r="AA643" t="s">
        <v>46</v>
      </c>
      <c r="AB643" s="2" t="s">
        <v>43</v>
      </c>
      <c r="AC643" t="s">
        <v>43</v>
      </c>
      <c r="AD643" t="s">
        <v>43</v>
      </c>
      <c r="AE643" t="s">
        <v>43</v>
      </c>
      <c r="AF643" t="s">
        <v>43</v>
      </c>
      <c r="AG643" t="s">
        <v>43</v>
      </c>
      <c r="AH643" s="2" t="s">
        <v>43</v>
      </c>
    </row>
    <row r="644" spans="1:34" ht="90">
      <c r="A644" s="6" t="s">
        <v>124</v>
      </c>
      <c r="B644" s="7">
        <v>46064</v>
      </c>
      <c r="C644" s="9" t="str">
        <f>HYPERLINK("https://eping.wto.org/en/Search?viewData= G/TBT/N/BDI/450/Add.3, G/TBT/N/KEN/1555/Add.3, G/TBT/N/RWA/985/Add.3, G/TBT/N/TZA/1086/Add.3, G/TBT/N/UGA/1900/Add.3"," G/TBT/N/BDI/450/Add.3, G/TBT/N/KEN/1555/Add.3, G/TBT/N/RWA/985/Add.3, G/TBT/N/TZA/1086/Add.3, G/TBT/N/UGA/1900/Add.3")</f>
        <v xml:space="preserve"> G/TBT/N/BDI/450/Add.3, G/TBT/N/KEN/1555/Add.3, G/TBT/N/RWA/985/Add.3, G/TBT/N/TZA/1086/Add.3, G/TBT/N/UGA/1900/Add.3</v>
      </c>
      <c r="D644" s="8" t="s">
        <v>2840</v>
      </c>
      <c r="E644" s="8" t="s">
        <v>2841</v>
      </c>
      <c r="F644" s="8" t="s">
        <v>2819</v>
      </c>
      <c r="G644" s="8" t="s">
        <v>2842</v>
      </c>
      <c r="H644" s="8" t="s">
        <v>2821</v>
      </c>
      <c r="I644" s="8" t="s">
        <v>2924</v>
      </c>
      <c r="J644" s="8" t="s">
        <v>43</v>
      </c>
      <c r="K644" s="8" t="s">
        <v>1029</v>
      </c>
      <c r="L644" s="6"/>
      <c r="M644" s="7" t="s">
        <v>43</v>
      </c>
      <c r="N644" s="7"/>
      <c r="O644" s="7"/>
      <c r="P644" s="6" t="s">
        <v>44</v>
      </c>
      <c r="Q644" s="6"/>
      <c r="R644" t="str">
        <f>HYPERLINK("https://docs.wto.org/imrd/directdoc.asp?DDFDocuments/t/G/TBTN24/BDI450A3.docx", "https://docs.wto.org/imrd/directdoc.asp?DDFDocuments/t/G/TBTN24/BDI450A3.docx")</f>
        <v>https://docs.wto.org/imrd/directdoc.asp?DDFDocuments/t/G/TBTN24/BDI450A3.docx</v>
      </c>
      <c r="S644" t="str">
        <f>HYPERLINK("https://docs.wto.org/imrd/directdoc.asp?DDFDocuments/u/G/TBTN24/BDI450A3.docx", "https://docs.wto.org/imrd/directdoc.asp?DDFDocuments/u/G/TBTN24/BDI450A3.docx")</f>
        <v>https://docs.wto.org/imrd/directdoc.asp?DDFDocuments/u/G/TBTN24/BDI450A3.docx</v>
      </c>
      <c r="T644" t="str">
        <f>HYPERLINK("https://docs.wto.org/imrd/directdoc.asp?DDFDocuments/v/G/TBTN24/BDI450A3.docx", "https://docs.wto.org/imrd/directdoc.asp?DDFDocuments/v/G/TBTN24/BDI450A3.docx")</f>
        <v>https://docs.wto.org/imrd/directdoc.asp?DDFDocuments/v/G/TBTN24/BDI450A3.docx</v>
      </c>
      <c r="U644" t="s">
        <v>64</v>
      </c>
      <c r="V644" t="s">
        <v>46</v>
      </c>
      <c r="W644" t="s">
        <v>46</v>
      </c>
      <c r="X644" t="s">
        <v>46</v>
      </c>
      <c r="Y644" t="s">
        <v>46</v>
      </c>
      <c r="Z644" t="s">
        <v>46</v>
      </c>
      <c r="AA644" t="s">
        <v>46</v>
      </c>
      <c r="AB644" s="2" t="s">
        <v>43</v>
      </c>
      <c r="AC644" t="s">
        <v>43</v>
      </c>
      <c r="AD644" t="s">
        <v>43</v>
      </c>
      <c r="AE644" t="s">
        <v>43</v>
      </c>
      <c r="AF644" t="s">
        <v>43</v>
      </c>
      <c r="AG644" t="s">
        <v>43</v>
      </c>
      <c r="AH644" s="2" t="s">
        <v>43</v>
      </c>
    </row>
    <row r="645" spans="1:34" ht="240">
      <c r="A645" s="6" t="s">
        <v>132</v>
      </c>
      <c r="B645" s="7">
        <v>46064</v>
      </c>
      <c r="C645" s="9" t="str">
        <f>HYPERLINK("https://eping.wto.org/en/Search?viewData= G/TBT/N/USA/2232/Add.3"," G/TBT/N/USA/2232/Add.3")</f>
        <v xml:space="preserve"> G/TBT/N/USA/2232/Add.3</v>
      </c>
      <c r="D645" s="8" t="s">
        <v>2925</v>
      </c>
      <c r="E645" s="8" t="s">
        <v>2926</v>
      </c>
      <c r="F645" s="8" t="s">
        <v>2927</v>
      </c>
      <c r="G645" s="8" t="s">
        <v>43</v>
      </c>
      <c r="H645" s="8" t="s">
        <v>2928</v>
      </c>
      <c r="I645" s="8" t="s">
        <v>2929</v>
      </c>
      <c r="J645" s="8" t="s">
        <v>43</v>
      </c>
      <c r="K645" s="8" t="s">
        <v>43</v>
      </c>
      <c r="L645" s="6"/>
      <c r="M645" s="7" t="s">
        <v>43</v>
      </c>
      <c r="N645" s="7"/>
      <c r="O645" s="7"/>
      <c r="P645" s="6" t="s">
        <v>44</v>
      </c>
      <c r="Q645" s="8" t="s">
        <v>2930</v>
      </c>
      <c r="R645" t="str">
        <f>HYPERLINK("https://docs.wto.org/imrd/directdoc.asp?DDFDocuments/t/G/TBTN25/USA2232A3.docx", "https://docs.wto.org/imrd/directdoc.asp?DDFDocuments/t/G/TBTN25/USA2232A3.docx")</f>
        <v>https://docs.wto.org/imrd/directdoc.asp?DDFDocuments/t/G/TBTN25/USA2232A3.docx</v>
      </c>
      <c r="S645" t="str">
        <f>HYPERLINK("https://docs.wto.org/imrd/directdoc.asp?DDFDocuments/u/G/TBTN25/USA2232A3.docx", "https://docs.wto.org/imrd/directdoc.asp?DDFDocuments/u/G/TBTN25/USA2232A3.docx")</f>
        <v>https://docs.wto.org/imrd/directdoc.asp?DDFDocuments/u/G/TBTN25/USA2232A3.docx</v>
      </c>
      <c r="T645" t="str">
        <f>HYPERLINK("https://docs.wto.org/imrd/directdoc.asp?DDFDocuments/v/G/TBTN25/USA2232A3.docx", "https://docs.wto.org/imrd/directdoc.asp?DDFDocuments/v/G/TBTN25/USA2232A3.docx")</f>
        <v>https://docs.wto.org/imrd/directdoc.asp?DDFDocuments/v/G/TBTN25/USA2232A3.docx</v>
      </c>
      <c r="U645" t="s">
        <v>46</v>
      </c>
      <c r="V645" t="s">
        <v>46</v>
      </c>
      <c r="W645" t="s">
        <v>46</v>
      </c>
      <c r="X645" t="s">
        <v>46</v>
      </c>
      <c r="Y645" t="s">
        <v>46</v>
      </c>
      <c r="Z645" t="s">
        <v>46</v>
      </c>
      <c r="AA645" t="s">
        <v>46</v>
      </c>
      <c r="AB645" s="2" t="s">
        <v>43</v>
      </c>
      <c r="AC645" t="s">
        <v>43</v>
      </c>
      <c r="AD645" t="s">
        <v>43</v>
      </c>
      <c r="AE645" t="s">
        <v>43</v>
      </c>
      <c r="AF645" t="s">
        <v>43</v>
      </c>
      <c r="AG645" t="s">
        <v>43</v>
      </c>
      <c r="AH645" s="2" t="s">
        <v>43</v>
      </c>
    </row>
    <row r="646" spans="1:34" ht="90">
      <c r="A646" s="6" t="s">
        <v>577</v>
      </c>
      <c r="B646" s="7">
        <v>46064</v>
      </c>
      <c r="C646" s="9" t="str">
        <f>HYPERLINK("https://eping.wto.org/en/Search?viewData= G/TBT/N/BDI/450/Add.3, G/TBT/N/KEN/1555/Add.3, G/TBT/N/RWA/985/Add.3, G/TBT/N/TZA/1086/Add.3, G/TBT/N/UGA/1900/Add.3"," G/TBT/N/BDI/450/Add.3, G/TBT/N/KEN/1555/Add.3, G/TBT/N/RWA/985/Add.3, G/TBT/N/TZA/1086/Add.3, G/TBT/N/UGA/1900/Add.3")</f>
        <v xml:space="preserve"> G/TBT/N/BDI/450/Add.3, G/TBT/N/KEN/1555/Add.3, G/TBT/N/RWA/985/Add.3, G/TBT/N/TZA/1086/Add.3, G/TBT/N/UGA/1900/Add.3</v>
      </c>
      <c r="D646" s="8" t="s">
        <v>2840</v>
      </c>
      <c r="E646" s="8" t="s">
        <v>2841</v>
      </c>
      <c r="F646" s="8" t="s">
        <v>2819</v>
      </c>
      <c r="G646" s="8" t="s">
        <v>2842</v>
      </c>
      <c r="H646" s="8" t="s">
        <v>2821</v>
      </c>
      <c r="I646" s="8" t="s">
        <v>2843</v>
      </c>
      <c r="J646" s="8" t="s">
        <v>43</v>
      </c>
      <c r="K646" s="8" t="s">
        <v>1029</v>
      </c>
      <c r="L646" s="6"/>
      <c r="M646" s="7" t="s">
        <v>43</v>
      </c>
      <c r="N646" s="7"/>
      <c r="O646" s="7"/>
      <c r="P646" s="6" t="s">
        <v>44</v>
      </c>
      <c r="Q646" s="6"/>
      <c r="R646" t="str">
        <f>HYPERLINK("https://docs.wto.org/imrd/directdoc.asp?DDFDocuments/t/G/TBTN24/BDI450A3.docx", "https://docs.wto.org/imrd/directdoc.asp?DDFDocuments/t/G/TBTN24/BDI450A3.docx")</f>
        <v>https://docs.wto.org/imrd/directdoc.asp?DDFDocuments/t/G/TBTN24/BDI450A3.docx</v>
      </c>
      <c r="S646" t="str">
        <f>HYPERLINK("https://docs.wto.org/imrd/directdoc.asp?DDFDocuments/u/G/TBTN24/BDI450A3.docx", "https://docs.wto.org/imrd/directdoc.asp?DDFDocuments/u/G/TBTN24/BDI450A3.docx")</f>
        <v>https://docs.wto.org/imrd/directdoc.asp?DDFDocuments/u/G/TBTN24/BDI450A3.docx</v>
      </c>
      <c r="T646" t="str">
        <f>HYPERLINK("https://docs.wto.org/imrd/directdoc.asp?DDFDocuments/v/G/TBTN24/BDI450A3.docx", "https://docs.wto.org/imrd/directdoc.asp?DDFDocuments/v/G/TBTN24/BDI450A3.docx")</f>
        <v>https://docs.wto.org/imrd/directdoc.asp?DDFDocuments/v/G/TBTN24/BDI450A3.docx</v>
      </c>
      <c r="U646" t="s">
        <v>64</v>
      </c>
      <c r="V646" t="s">
        <v>46</v>
      </c>
      <c r="W646" t="s">
        <v>46</v>
      </c>
      <c r="X646" t="s">
        <v>46</v>
      </c>
      <c r="Y646" t="s">
        <v>46</v>
      </c>
      <c r="Z646" t="s">
        <v>46</v>
      </c>
      <c r="AA646" t="s">
        <v>46</v>
      </c>
      <c r="AB646" s="2" t="s">
        <v>43</v>
      </c>
      <c r="AC646" t="s">
        <v>43</v>
      </c>
      <c r="AD646" t="s">
        <v>43</v>
      </c>
      <c r="AE646" t="s">
        <v>43</v>
      </c>
      <c r="AF646" t="s">
        <v>43</v>
      </c>
      <c r="AG646" t="s">
        <v>43</v>
      </c>
      <c r="AH646" s="2" t="s">
        <v>43</v>
      </c>
    </row>
    <row r="647" spans="1:34" ht="90">
      <c r="A647" s="6" t="s">
        <v>108</v>
      </c>
      <c r="B647" s="7">
        <v>46064</v>
      </c>
      <c r="C647" s="9" t="str">
        <f>HYPERLINK("https://eping.wto.org/en/Search?viewData= G/TBT/N/BDI/452/Add.3, G/TBT/N/KEN/1557/Add.3, G/TBT/N/RWA/987/Add.3, G/TBT/N/TZA/1088/Add.3, G/TBT/N/UGA/1902/Add.3"," G/TBT/N/BDI/452/Add.3, G/TBT/N/KEN/1557/Add.3, G/TBT/N/RWA/987/Add.3, G/TBT/N/TZA/1088/Add.3, G/TBT/N/UGA/1902/Add.3")</f>
        <v xml:space="preserve"> G/TBT/N/BDI/452/Add.3, G/TBT/N/KEN/1557/Add.3, G/TBT/N/RWA/987/Add.3, G/TBT/N/TZA/1088/Add.3, G/TBT/N/UGA/1902/Add.3</v>
      </c>
      <c r="D647" s="8" t="s">
        <v>2855</v>
      </c>
      <c r="E647" s="8" t="s">
        <v>2856</v>
      </c>
      <c r="F647" s="8" t="s">
        <v>2819</v>
      </c>
      <c r="G647" s="8" t="s">
        <v>2820</v>
      </c>
      <c r="H647" s="8" t="s">
        <v>2821</v>
      </c>
      <c r="I647" s="8" t="s">
        <v>2822</v>
      </c>
      <c r="J647" s="8" t="s">
        <v>43</v>
      </c>
      <c r="K647" s="8" t="s">
        <v>1029</v>
      </c>
      <c r="L647" s="6"/>
      <c r="M647" s="7" t="s">
        <v>43</v>
      </c>
      <c r="N647" s="7"/>
      <c r="O647" s="7"/>
      <c r="P647" s="6" t="s">
        <v>44</v>
      </c>
      <c r="Q647" s="6"/>
      <c r="R647" t="str">
        <f>HYPERLINK("https://docs.wto.org/imrd/directdoc.asp?DDFDocuments/t/G/TBTN24/BDI452A3.docx", "https://docs.wto.org/imrd/directdoc.asp?DDFDocuments/t/G/TBTN24/BDI452A3.docx")</f>
        <v>https://docs.wto.org/imrd/directdoc.asp?DDFDocuments/t/G/TBTN24/BDI452A3.docx</v>
      </c>
      <c r="S647" t="str">
        <f>HYPERLINK("https://docs.wto.org/imrd/directdoc.asp?DDFDocuments/u/G/TBTN24/BDI452A3.docx", "https://docs.wto.org/imrd/directdoc.asp?DDFDocuments/u/G/TBTN24/BDI452A3.docx")</f>
        <v>https://docs.wto.org/imrd/directdoc.asp?DDFDocuments/u/G/TBTN24/BDI452A3.docx</v>
      </c>
      <c r="T647" t="str">
        <f>HYPERLINK("https://docs.wto.org/imrd/directdoc.asp?DDFDocuments/v/G/TBTN24/BDI452A3.docx", "https://docs.wto.org/imrd/directdoc.asp?DDFDocuments/v/G/TBTN24/BDI452A3.docx")</f>
        <v>https://docs.wto.org/imrd/directdoc.asp?DDFDocuments/v/G/TBTN24/BDI452A3.docx</v>
      </c>
      <c r="U647" t="s">
        <v>64</v>
      </c>
      <c r="V647" t="s">
        <v>46</v>
      </c>
      <c r="W647" t="s">
        <v>46</v>
      </c>
      <c r="X647" t="s">
        <v>46</v>
      </c>
      <c r="Y647" t="s">
        <v>46</v>
      </c>
      <c r="Z647" t="s">
        <v>46</v>
      </c>
      <c r="AA647" t="s">
        <v>46</v>
      </c>
      <c r="AB647" s="2" t="s">
        <v>43</v>
      </c>
      <c r="AC647" t="s">
        <v>43</v>
      </c>
      <c r="AD647" t="s">
        <v>43</v>
      </c>
      <c r="AE647" t="s">
        <v>43</v>
      </c>
      <c r="AF647" t="s">
        <v>43</v>
      </c>
      <c r="AG647" t="s">
        <v>43</v>
      </c>
      <c r="AH647" s="2" t="s">
        <v>43</v>
      </c>
    </row>
    <row r="648" spans="1:34" ht="105">
      <c r="A648" s="6" t="s">
        <v>124</v>
      </c>
      <c r="B648" s="7">
        <v>46064</v>
      </c>
      <c r="C648" s="9" t="str">
        <f>HYPERLINK("https://eping.wto.org/en/Search?viewData= G/SPS/N/BDI/30/Add.3, G/SPS/N/KEN/186/Add.3, G/SPS/N/RWA/23/Add.3, G/SPS/N/TZA/224/Add.3, G/SPS/N/UGA/226/Add.3"," G/SPS/N/BDI/30/Add.3, G/SPS/N/KEN/186/Add.3, G/SPS/N/RWA/23/Add.3, G/SPS/N/TZA/224/Add.3, G/SPS/N/UGA/226/Add.3")</f>
        <v xml:space="preserve"> G/SPS/N/BDI/30/Add.3, G/SPS/N/KEN/186/Add.3, G/SPS/N/RWA/23/Add.3, G/SPS/N/TZA/224/Add.3, G/SPS/N/UGA/226/Add.3</v>
      </c>
      <c r="D648" s="8" t="s">
        <v>2748</v>
      </c>
      <c r="E648" s="8" t="s">
        <v>2844</v>
      </c>
      <c r="F648" s="8" t="s">
        <v>2750</v>
      </c>
      <c r="G648" s="8" t="s">
        <v>2751</v>
      </c>
      <c r="H648" s="8" t="s">
        <v>2752</v>
      </c>
      <c r="I648" s="8" t="s">
        <v>58</v>
      </c>
      <c r="J648" s="8" t="s">
        <v>43</v>
      </c>
      <c r="K648" s="8" t="s">
        <v>2845</v>
      </c>
      <c r="L648" s="6"/>
      <c r="M648" s="7" t="s">
        <v>43</v>
      </c>
      <c r="N648" s="7"/>
      <c r="O648" s="7"/>
      <c r="P648" s="6" t="s">
        <v>44</v>
      </c>
      <c r="Q648" s="6"/>
      <c r="R648" t="str">
        <f>HYPERLINK("https://docs.wto.org/imrd/directdoc.asp?DDFDocuments/t/G/SPS/NBDI30A3.docx", "https://docs.wto.org/imrd/directdoc.asp?DDFDocuments/t/G/SPS/NBDI30A3.docx")</f>
        <v>https://docs.wto.org/imrd/directdoc.asp?DDFDocuments/t/G/SPS/NBDI30A3.docx</v>
      </c>
      <c r="S648" t="str">
        <f>HYPERLINK("https://docs.wto.org/imrd/directdoc.asp?DDFDocuments/u/G/SPS/NBDI30A3.docx", "https://docs.wto.org/imrd/directdoc.asp?DDFDocuments/u/G/SPS/NBDI30A3.docx")</f>
        <v>https://docs.wto.org/imrd/directdoc.asp?DDFDocuments/u/G/SPS/NBDI30A3.docx</v>
      </c>
      <c r="T648" t="str">
        <f>HYPERLINK("https://docs.wto.org/imrd/directdoc.asp?DDFDocuments/v/G/SPS/NBDI30A3.docx", "https://docs.wto.org/imrd/directdoc.asp?DDFDocuments/v/G/SPS/NBDI30A3.docx")</f>
        <v>https://docs.wto.org/imrd/directdoc.asp?DDFDocuments/v/G/SPS/NBDI30A3.docx</v>
      </c>
      <c r="U648" t="s">
        <v>43</v>
      </c>
      <c r="V648" t="s">
        <v>43</v>
      </c>
      <c r="W648" t="s">
        <v>43</v>
      </c>
      <c r="X648" t="s">
        <v>43</v>
      </c>
      <c r="Y648" t="s">
        <v>43</v>
      </c>
      <c r="Z648" t="s">
        <v>43</v>
      </c>
      <c r="AA648" t="s">
        <v>43</v>
      </c>
      <c r="AB648" s="2" t="s">
        <v>43</v>
      </c>
      <c r="AC648" t="s">
        <v>43</v>
      </c>
      <c r="AD648" t="s">
        <v>43</v>
      </c>
      <c r="AE648" t="s">
        <v>43</v>
      </c>
      <c r="AF648" t="s">
        <v>43</v>
      </c>
      <c r="AG648" t="s">
        <v>43</v>
      </c>
      <c r="AH648" s="2" t="s">
        <v>43</v>
      </c>
    </row>
    <row r="649" spans="1:34" ht="90">
      <c r="A649" s="6" t="s">
        <v>577</v>
      </c>
      <c r="B649" s="7">
        <v>46064</v>
      </c>
      <c r="C649" s="9" t="str">
        <f>HYPERLINK("https://eping.wto.org/en/Search?viewData= G/TBT/N/BDI/280/Add.2, G/TBT/N/KEN/1314/Add.2, G/TBT/N/RWA/714/Add.2, G/TBT/N/TZA/833/Add.2, G/TBT/N/UGA/1688/Add.2"," G/TBT/N/BDI/280/Add.2, G/TBT/N/KEN/1314/Add.2, G/TBT/N/RWA/714/Add.2, G/TBT/N/TZA/833/Add.2, G/TBT/N/UGA/1688/Add.2")</f>
        <v xml:space="preserve"> G/TBT/N/BDI/280/Add.2, G/TBT/N/KEN/1314/Add.2, G/TBT/N/RWA/714/Add.2, G/TBT/N/TZA/833/Add.2, G/TBT/N/UGA/1688/Add.2</v>
      </c>
      <c r="D649" s="8" t="s">
        <v>2823</v>
      </c>
      <c r="E649" s="8" t="s">
        <v>2824</v>
      </c>
      <c r="F649" s="8" t="s">
        <v>2825</v>
      </c>
      <c r="G649" s="8" t="s">
        <v>43</v>
      </c>
      <c r="H649" s="8" t="s">
        <v>2826</v>
      </c>
      <c r="I649" s="8" t="s">
        <v>2827</v>
      </c>
      <c r="J649" s="8" t="s">
        <v>43</v>
      </c>
      <c r="K649" s="8" t="s">
        <v>1029</v>
      </c>
      <c r="L649" s="6"/>
      <c r="M649" s="7" t="s">
        <v>43</v>
      </c>
      <c r="N649" s="7"/>
      <c r="O649" s="7"/>
      <c r="P649" s="6" t="s">
        <v>44</v>
      </c>
      <c r="Q649" s="6"/>
      <c r="R649" t="str">
        <f>HYPERLINK("https://docs.wto.org/imrd/directdoc.asp?DDFDocuments/t/G/TBTN22/BDI280A2.docx", "https://docs.wto.org/imrd/directdoc.asp?DDFDocuments/t/G/TBTN22/BDI280A2.docx")</f>
        <v>https://docs.wto.org/imrd/directdoc.asp?DDFDocuments/t/G/TBTN22/BDI280A2.docx</v>
      </c>
      <c r="S649" t="str">
        <f>HYPERLINK("https://docs.wto.org/imrd/directdoc.asp?DDFDocuments/u/G/TBTN22/BDI280A2.docx", "https://docs.wto.org/imrd/directdoc.asp?DDFDocuments/u/G/TBTN22/BDI280A2.docx")</f>
        <v>https://docs.wto.org/imrd/directdoc.asp?DDFDocuments/u/G/TBTN22/BDI280A2.docx</v>
      </c>
      <c r="T649" t="str">
        <f>HYPERLINK("https://docs.wto.org/imrd/directdoc.asp?DDFDocuments/v/G/TBTN22/BDI280A2.docx", "https://docs.wto.org/imrd/directdoc.asp?DDFDocuments/v/G/TBTN22/BDI280A2.docx")</f>
        <v>https://docs.wto.org/imrd/directdoc.asp?DDFDocuments/v/G/TBTN22/BDI280A2.docx</v>
      </c>
      <c r="U649" t="s">
        <v>64</v>
      </c>
      <c r="V649" t="s">
        <v>46</v>
      </c>
      <c r="W649" t="s">
        <v>64</v>
      </c>
      <c r="X649" t="s">
        <v>46</v>
      </c>
      <c r="Y649" t="s">
        <v>46</v>
      </c>
      <c r="Z649" t="s">
        <v>46</v>
      </c>
      <c r="AA649" t="s">
        <v>46</v>
      </c>
      <c r="AB649" s="2" t="s">
        <v>43</v>
      </c>
      <c r="AC649" t="s">
        <v>43</v>
      </c>
      <c r="AD649" t="s">
        <v>43</v>
      </c>
      <c r="AE649" t="s">
        <v>43</v>
      </c>
      <c r="AF649" t="s">
        <v>43</v>
      </c>
      <c r="AG649" t="s">
        <v>43</v>
      </c>
      <c r="AH649" s="2" t="s">
        <v>43</v>
      </c>
    </row>
    <row r="650" spans="1:34" ht="90">
      <c r="A650" s="6" t="s">
        <v>124</v>
      </c>
      <c r="B650" s="7">
        <v>46064</v>
      </c>
      <c r="C650" s="9" t="str">
        <f>HYPERLINK("https://eping.wto.org/en/Search?viewData= G/TBT/N/BDI/280/Add.2, G/TBT/N/KEN/1314/Add.2, G/TBT/N/RWA/714/Add.2, G/TBT/N/TZA/833/Add.2, G/TBT/N/UGA/1688/Add.2"," G/TBT/N/BDI/280/Add.2, G/TBT/N/KEN/1314/Add.2, G/TBT/N/RWA/714/Add.2, G/TBT/N/TZA/833/Add.2, G/TBT/N/UGA/1688/Add.2")</f>
        <v xml:space="preserve"> G/TBT/N/BDI/280/Add.2, G/TBT/N/KEN/1314/Add.2, G/TBT/N/RWA/714/Add.2, G/TBT/N/TZA/833/Add.2, G/TBT/N/UGA/1688/Add.2</v>
      </c>
      <c r="D650" s="8" t="s">
        <v>2823</v>
      </c>
      <c r="E650" s="8" t="s">
        <v>2824</v>
      </c>
      <c r="F650" s="8" t="s">
        <v>2825</v>
      </c>
      <c r="G650" s="8" t="s">
        <v>43</v>
      </c>
      <c r="H650" s="8" t="s">
        <v>2826</v>
      </c>
      <c r="I650" s="8" t="s">
        <v>2827</v>
      </c>
      <c r="J650" s="8" t="s">
        <v>43</v>
      </c>
      <c r="K650" s="8" t="s">
        <v>1029</v>
      </c>
      <c r="L650" s="6"/>
      <c r="M650" s="7" t="s">
        <v>43</v>
      </c>
      <c r="N650" s="7"/>
      <c r="O650" s="7"/>
      <c r="P650" s="6" t="s">
        <v>44</v>
      </c>
      <c r="Q650" s="6"/>
      <c r="R650" t="str">
        <f>HYPERLINK("https://docs.wto.org/imrd/directdoc.asp?DDFDocuments/t/G/TBTN22/BDI280A2.docx", "https://docs.wto.org/imrd/directdoc.asp?DDFDocuments/t/G/TBTN22/BDI280A2.docx")</f>
        <v>https://docs.wto.org/imrd/directdoc.asp?DDFDocuments/t/G/TBTN22/BDI280A2.docx</v>
      </c>
      <c r="S650" t="str">
        <f>HYPERLINK("https://docs.wto.org/imrd/directdoc.asp?DDFDocuments/u/G/TBTN22/BDI280A2.docx", "https://docs.wto.org/imrd/directdoc.asp?DDFDocuments/u/G/TBTN22/BDI280A2.docx")</f>
        <v>https://docs.wto.org/imrd/directdoc.asp?DDFDocuments/u/G/TBTN22/BDI280A2.docx</v>
      </c>
      <c r="T650" t="str">
        <f>HYPERLINK("https://docs.wto.org/imrd/directdoc.asp?DDFDocuments/v/G/TBTN22/BDI280A2.docx", "https://docs.wto.org/imrd/directdoc.asp?DDFDocuments/v/G/TBTN22/BDI280A2.docx")</f>
        <v>https://docs.wto.org/imrd/directdoc.asp?DDFDocuments/v/G/TBTN22/BDI280A2.docx</v>
      </c>
      <c r="U650" t="s">
        <v>64</v>
      </c>
      <c r="V650" t="s">
        <v>46</v>
      </c>
      <c r="W650" t="s">
        <v>64</v>
      </c>
      <c r="X650" t="s">
        <v>46</v>
      </c>
      <c r="Y650" t="s">
        <v>46</v>
      </c>
      <c r="Z650" t="s">
        <v>46</v>
      </c>
      <c r="AA650" t="s">
        <v>46</v>
      </c>
      <c r="AB650" s="2" t="s">
        <v>43</v>
      </c>
      <c r="AC650" t="s">
        <v>43</v>
      </c>
      <c r="AD650" t="s">
        <v>43</v>
      </c>
      <c r="AE650" t="s">
        <v>43</v>
      </c>
      <c r="AF650" t="s">
        <v>43</v>
      </c>
      <c r="AG650" t="s">
        <v>43</v>
      </c>
      <c r="AH650" s="2" t="s">
        <v>43</v>
      </c>
    </row>
    <row r="651" spans="1:34" ht="90">
      <c r="A651" s="6" t="s">
        <v>509</v>
      </c>
      <c r="B651" s="7">
        <v>46064</v>
      </c>
      <c r="C651" s="9" t="str">
        <f>HYPERLINK("https://eping.wto.org/en/Search?viewData= G/TBT/N/BDI/285/Add.3, G/TBT/N/KEN/1319/Add.3, G/TBT/N/RWA/719/Add.3, G/TBT/N/TZA/838/Add.3, G/TBT/N/UGA/1693/Add.3"," G/TBT/N/BDI/285/Add.3, G/TBT/N/KEN/1319/Add.3, G/TBT/N/RWA/719/Add.3, G/TBT/N/TZA/838/Add.3, G/TBT/N/UGA/1693/Add.3")</f>
        <v xml:space="preserve"> G/TBT/N/BDI/285/Add.3, G/TBT/N/KEN/1319/Add.3, G/TBT/N/RWA/719/Add.3, G/TBT/N/TZA/838/Add.3, G/TBT/N/UGA/1693/Add.3</v>
      </c>
      <c r="D651" s="8" t="s">
        <v>2857</v>
      </c>
      <c r="E651" s="8" t="s">
        <v>2858</v>
      </c>
      <c r="F651" s="8" t="s">
        <v>2825</v>
      </c>
      <c r="G651" s="8" t="s">
        <v>43</v>
      </c>
      <c r="H651" s="8" t="s">
        <v>2826</v>
      </c>
      <c r="I651" s="8" t="s">
        <v>2827</v>
      </c>
      <c r="J651" s="8" t="s">
        <v>43</v>
      </c>
      <c r="K651" s="8" t="s">
        <v>1029</v>
      </c>
      <c r="L651" s="6"/>
      <c r="M651" s="7" t="s">
        <v>43</v>
      </c>
      <c r="N651" s="7"/>
      <c r="O651" s="7"/>
      <c r="P651" s="6" t="s">
        <v>44</v>
      </c>
      <c r="Q651" s="6"/>
      <c r="R651" t="str">
        <f>HYPERLINK("https://docs.wto.org/imrd/directdoc.asp?DDFDocuments/t/G/TBTN22/BDI285A3.docx", "https://docs.wto.org/imrd/directdoc.asp?DDFDocuments/t/G/TBTN22/BDI285A3.docx")</f>
        <v>https://docs.wto.org/imrd/directdoc.asp?DDFDocuments/t/G/TBTN22/BDI285A3.docx</v>
      </c>
      <c r="S651" t="str">
        <f>HYPERLINK("https://docs.wto.org/imrd/directdoc.asp?DDFDocuments/u/G/TBTN22/BDI285A3.docx", "https://docs.wto.org/imrd/directdoc.asp?DDFDocuments/u/G/TBTN22/BDI285A3.docx")</f>
        <v>https://docs.wto.org/imrd/directdoc.asp?DDFDocuments/u/G/TBTN22/BDI285A3.docx</v>
      </c>
      <c r="T651" t="str">
        <f>HYPERLINK("https://docs.wto.org/imrd/directdoc.asp?DDFDocuments/v/G/TBTN22/BDI285A3.docx", "https://docs.wto.org/imrd/directdoc.asp?DDFDocuments/v/G/TBTN22/BDI285A3.docx")</f>
        <v>https://docs.wto.org/imrd/directdoc.asp?DDFDocuments/v/G/TBTN22/BDI285A3.docx</v>
      </c>
      <c r="U651" t="s">
        <v>64</v>
      </c>
      <c r="V651" t="s">
        <v>46</v>
      </c>
      <c r="W651" t="s">
        <v>64</v>
      </c>
      <c r="X651" t="s">
        <v>46</v>
      </c>
      <c r="Y651" t="s">
        <v>46</v>
      </c>
      <c r="Z651" t="s">
        <v>46</v>
      </c>
      <c r="AA651" t="s">
        <v>46</v>
      </c>
      <c r="AB651" s="2" t="s">
        <v>43</v>
      </c>
      <c r="AC651" t="s">
        <v>43</v>
      </c>
      <c r="AD651" t="s">
        <v>43</v>
      </c>
      <c r="AE651" t="s">
        <v>43</v>
      </c>
      <c r="AF651" t="s">
        <v>43</v>
      </c>
      <c r="AG651" t="s">
        <v>43</v>
      </c>
      <c r="AH651" s="2" t="s">
        <v>43</v>
      </c>
    </row>
    <row r="652" spans="1:34" ht="90">
      <c r="A652" s="6" t="s">
        <v>108</v>
      </c>
      <c r="B652" s="7">
        <v>46064</v>
      </c>
      <c r="C652" s="9" t="str">
        <f>HYPERLINK("https://eping.wto.org/en/Search?viewData= G/TBT/N/BDI/281/Add.3, G/TBT/N/KEN/1315/Add.3, G/TBT/N/RWA/715/Add.3, G/TBT/N/TZA/834/Add.3, G/TBT/N/UGA/1689/Add.3"," G/TBT/N/BDI/281/Add.3, G/TBT/N/KEN/1315/Add.3, G/TBT/N/RWA/715/Add.3, G/TBT/N/TZA/834/Add.3, G/TBT/N/UGA/1689/Add.3")</f>
        <v xml:space="preserve"> G/TBT/N/BDI/281/Add.3, G/TBT/N/KEN/1315/Add.3, G/TBT/N/RWA/715/Add.3, G/TBT/N/TZA/834/Add.3, G/TBT/N/UGA/1689/Add.3</v>
      </c>
      <c r="D652" s="8" t="s">
        <v>2828</v>
      </c>
      <c r="E652" s="8" t="s">
        <v>2829</v>
      </c>
      <c r="F652" s="8" t="s">
        <v>2825</v>
      </c>
      <c r="G652" s="8" t="s">
        <v>43</v>
      </c>
      <c r="H652" s="8" t="s">
        <v>2826</v>
      </c>
      <c r="I652" s="8" t="s">
        <v>2827</v>
      </c>
      <c r="J652" s="8" t="s">
        <v>43</v>
      </c>
      <c r="K652" s="8" t="s">
        <v>1029</v>
      </c>
      <c r="L652" s="6"/>
      <c r="M652" s="7" t="s">
        <v>43</v>
      </c>
      <c r="N652" s="7"/>
      <c r="O652" s="7"/>
      <c r="P652" s="6" t="s">
        <v>44</v>
      </c>
      <c r="Q652" s="6"/>
      <c r="R652" t="str">
        <f>HYPERLINK("https://docs.wto.org/imrd/directdoc.asp?DDFDocuments/t/G/TBTN22/BDI281A3.docx", "https://docs.wto.org/imrd/directdoc.asp?DDFDocuments/t/G/TBTN22/BDI281A3.docx")</f>
        <v>https://docs.wto.org/imrd/directdoc.asp?DDFDocuments/t/G/TBTN22/BDI281A3.docx</v>
      </c>
      <c r="S652" t="str">
        <f>HYPERLINK("https://docs.wto.org/imrd/directdoc.asp?DDFDocuments/u/G/TBTN22/BDI281A3.docx", "https://docs.wto.org/imrd/directdoc.asp?DDFDocuments/u/G/TBTN22/BDI281A3.docx")</f>
        <v>https://docs.wto.org/imrd/directdoc.asp?DDFDocuments/u/G/TBTN22/BDI281A3.docx</v>
      </c>
      <c r="T652" t="str">
        <f>HYPERLINK("https://docs.wto.org/imrd/directdoc.asp?DDFDocuments/v/G/TBTN22/BDI281A3.docx", "https://docs.wto.org/imrd/directdoc.asp?DDFDocuments/v/G/TBTN22/BDI281A3.docx")</f>
        <v>https://docs.wto.org/imrd/directdoc.asp?DDFDocuments/v/G/TBTN22/BDI281A3.docx</v>
      </c>
      <c r="U652" t="s">
        <v>64</v>
      </c>
      <c r="V652" t="s">
        <v>46</v>
      </c>
      <c r="W652" t="s">
        <v>64</v>
      </c>
      <c r="X652" t="s">
        <v>46</v>
      </c>
      <c r="Y652" t="s">
        <v>46</v>
      </c>
      <c r="Z652" t="s">
        <v>46</v>
      </c>
      <c r="AA652" t="s">
        <v>46</v>
      </c>
      <c r="AB652" s="2" t="s">
        <v>43</v>
      </c>
      <c r="AC652" t="s">
        <v>43</v>
      </c>
      <c r="AD652" t="s">
        <v>43</v>
      </c>
      <c r="AE652" t="s">
        <v>43</v>
      </c>
      <c r="AF652" t="s">
        <v>43</v>
      </c>
      <c r="AG652" t="s">
        <v>43</v>
      </c>
      <c r="AH652" s="2" t="s">
        <v>43</v>
      </c>
    </row>
    <row r="653" spans="1:34" ht="60">
      <c r="A653" s="6" t="s">
        <v>124</v>
      </c>
      <c r="B653" s="7">
        <v>46064</v>
      </c>
      <c r="C653" s="9" t="str">
        <f>HYPERLINK("https://eping.wto.org/en/Search?viewData= G/TBT/N/KEN/1983"," G/TBT/N/KEN/1983")</f>
        <v xml:space="preserve"> G/TBT/N/KEN/1983</v>
      </c>
      <c r="D653" s="8" t="s">
        <v>2931</v>
      </c>
      <c r="E653" s="8" t="s">
        <v>2932</v>
      </c>
      <c r="F653" s="8" t="s">
        <v>237</v>
      </c>
      <c r="G653" s="8" t="s">
        <v>43</v>
      </c>
      <c r="H653" s="8" t="s">
        <v>238</v>
      </c>
      <c r="I653" s="8" t="s">
        <v>2838</v>
      </c>
      <c r="J653" s="8" t="s">
        <v>43</v>
      </c>
      <c r="K653" s="8" t="s">
        <v>240</v>
      </c>
      <c r="L653" s="6"/>
      <c r="M653" s="7">
        <v>46124</v>
      </c>
      <c r="N653" s="7" t="s">
        <v>485</v>
      </c>
      <c r="O653" s="7" t="s">
        <v>79</v>
      </c>
      <c r="P653" s="6" t="s">
        <v>62</v>
      </c>
      <c r="Q653" s="8" t="s">
        <v>2933</v>
      </c>
      <c r="R653" t="str">
        <f>HYPERLINK("https://docs.wto.org/imrd/directdoc.asp?DDFDocuments/t/G/TBTN26/KEN1983.docx", "https://docs.wto.org/imrd/directdoc.asp?DDFDocuments/t/G/TBTN26/KEN1983.docx")</f>
        <v>https://docs.wto.org/imrd/directdoc.asp?DDFDocuments/t/G/TBTN26/KEN1983.docx</v>
      </c>
      <c r="S653" t="str">
        <f>HYPERLINK("https://docs.wto.org/imrd/directdoc.asp?DDFDocuments/u/G/TBTN26/KEN1983.docx", "https://docs.wto.org/imrd/directdoc.asp?DDFDocuments/u/G/TBTN26/KEN1983.docx")</f>
        <v>https://docs.wto.org/imrd/directdoc.asp?DDFDocuments/u/G/TBTN26/KEN1983.docx</v>
      </c>
      <c r="T653" t="str">
        <f>HYPERLINK("https://docs.wto.org/imrd/directdoc.asp?DDFDocuments/v/G/TBTN26/KEN1983.docx", "https://docs.wto.org/imrd/directdoc.asp?DDFDocuments/v/G/TBTN26/KEN1983.docx")</f>
        <v>https://docs.wto.org/imrd/directdoc.asp?DDFDocuments/v/G/TBTN26/KEN1983.docx</v>
      </c>
      <c r="U653" t="s">
        <v>64</v>
      </c>
      <c r="V653" t="s">
        <v>46</v>
      </c>
      <c r="W653" t="s">
        <v>46</v>
      </c>
      <c r="X653" t="s">
        <v>46</v>
      </c>
      <c r="Y653" t="s">
        <v>46</v>
      </c>
      <c r="Z653" t="s">
        <v>46</v>
      </c>
      <c r="AA653" t="s">
        <v>46</v>
      </c>
      <c r="AB653" s="2" t="s">
        <v>2934</v>
      </c>
      <c r="AC653" t="s">
        <v>43</v>
      </c>
      <c r="AD653" t="s">
        <v>43</v>
      </c>
      <c r="AE653" t="s">
        <v>43</v>
      </c>
      <c r="AF653" t="s">
        <v>43</v>
      </c>
      <c r="AG653" t="s">
        <v>43</v>
      </c>
      <c r="AH653" s="2" t="s">
        <v>43</v>
      </c>
    </row>
    <row r="654" spans="1:34" ht="60">
      <c r="A654" s="6" t="s">
        <v>390</v>
      </c>
      <c r="B654" s="7">
        <v>46064</v>
      </c>
      <c r="C654" s="9" t="str">
        <f>HYPERLINK("https://eping.wto.org/en/Search?viewData= G/TBT/N/TZA/1006/Add.1"," G/TBT/N/TZA/1006/Add.1")</f>
        <v xml:space="preserve"> G/TBT/N/TZA/1006/Add.1</v>
      </c>
      <c r="D654" s="8" t="s">
        <v>2935</v>
      </c>
      <c r="E654" s="8" t="s">
        <v>2936</v>
      </c>
      <c r="F654" s="8" t="s">
        <v>2880</v>
      </c>
      <c r="G654" s="8" t="s">
        <v>43</v>
      </c>
      <c r="H654" s="8" t="s">
        <v>2881</v>
      </c>
      <c r="I654" s="8" t="s">
        <v>739</v>
      </c>
      <c r="J654" s="8" t="s">
        <v>43</v>
      </c>
      <c r="K654" s="8" t="s">
        <v>43</v>
      </c>
      <c r="L654" s="6"/>
      <c r="M654" s="7" t="s">
        <v>43</v>
      </c>
      <c r="N654" s="7"/>
      <c r="O654" s="7"/>
      <c r="P654" s="6" t="s">
        <v>44</v>
      </c>
      <c r="Q654" s="6"/>
      <c r="R654" t="str">
        <f>HYPERLINK("https://docs.wto.org/imrd/directdoc.asp?DDFDocuments/t/G/TBTN23/TZA1006A1.docx", "https://docs.wto.org/imrd/directdoc.asp?DDFDocuments/t/G/TBTN23/TZA1006A1.docx")</f>
        <v>https://docs.wto.org/imrd/directdoc.asp?DDFDocuments/t/G/TBTN23/TZA1006A1.docx</v>
      </c>
      <c r="S654" t="str">
        <f>HYPERLINK("https://docs.wto.org/imrd/directdoc.asp?DDFDocuments/u/G/TBTN23/TZA1006A1.docx", "https://docs.wto.org/imrd/directdoc.asp?DDFDocuments/u/G/TBTN23/TZA1006A1.docx")</f>
        <v>https://docs.wto.org/imrd/directdoc.asp?DDFDocuments/u/G/TBTN23/TZA1006A1.docx</v>
      </c>
      <c r="T654" t="str">
        <f>HYPERLINK("https://docs.wto.org/imrd/directdoc.asp?DDFDocuments/v/G/TBTN23/TZA1006A1.docx", "https://docs.wto.org/imrd/directdoc.asp?DDFDocuments/v/G/TBTN23/TZA1006A1.docx")</f>
        <v>https://docs.wto.org/imrd/directdoc.asp?DDFDocuments/v/G/TBTN23/TZA1006A1.docx</v>
      </c>
      <c r="U654" t="s">
        <v>64</v>
      </c>
      <c r="V654" t="s">
        <v>46</v>
      </c>
      <c r="W654" t="s">
        <v>46</v>
      </c>
      <c r="X654" t="s">
        <v>46</v>
      </c>
      <c r="Y654" t="s">
        <v>46</v>
      </c>
      <c r="Z654" t="s">
        <v>46</v>
      </c>
      <c r="AA654" t="s">
        <v>46</v>
      </c>
      <c r="AB654" s="2" t="s">
        <v>43</v>
      </c>
      <c r="AC654" t="s">
        <v>43</v>
      </c>
      <c r="AD654" t="s">
        <v>43</v>
      </c>
      <c r="AE654" t="s">
        <v>43</v>
      </c>
      <c r="AF654" t="s">
        <v>43</v>
      </c>
      <c r="AG654" t="s">
        <v>43</v>
      </c>
      <c r="AH654" s="2" t="s">
        <v>43</v>
      </c>
    </row>
    <row r="655" spans="1:34" ht="105">
      <c r="A655" s="6" t="s">
        <v>108</v>
      </c>
      <c r="B655" s="7">
        <v>46064</v>
      </c>
      <c r="C655" s="9" t="str">
        <f>HYPERLINK("https://eping.wto.org/en/Search?viewData= G/SPS/N/BDI/30/Add.3, G/SPS/N/KEN/186/Add.3, G/SPS/N/RWA/23/Add.3, G/SPS/N/TZA/224/Add.3, G/SPS/N/UGA/226/Add.3"," G/SPS/N/BDI/30/Add.3, G/SPS/N/KEN/186/Add.3, G/SPS/N/RWA/23/Add.3, G/SPS/N/TZA/224/Add.3, G/SPS/N/UGA/226/Add.3")</f>
        <v xml:space="preserve"> G/SPS/N/BDI/30/Add.3, G/SPS/N/KEN/186/Add.3, G/SPS/N/RWA/23/Add.3, G/SPS/N/TZA/224/Add.3, G/SPS/N/UGA/226/Add.3</v>
      </c>
      <c r="D655" s="8" t="s">
        <v>2748</v>
      </c>
      <c r="E655" s="8" t="s">
        <v>2844</v>
      </c>
      <c r="F655" s="8" t="s">
        <v>2750</v>
      </c>
      <c r="G655" s="8" t="s">
        <v>2751</v>
      </c>
      <c r="H655" s="8" t="s">
        <v>2752</v>
      </c>
      <c r="I655" s="8" t="s">
        <v>58</v>
      </c>
      <c r="J655" s="8" t="s">
        <v>43</v>
      </c>
      <c r="K655" s="8" t="s">
        <v>2845</v>
      </c>
      <c r="L655" s="6"/>
      <c r="M655" s="7" t="s">
        <v>43</v>
      </c>
      <c r="N655" s="7"/>
      <c r="O655" s="7"/>
      <c r="P655" s="6" t="s">
        <v>44</v>
      </c>
      <c r="Q655" s="6"/>
      <c r="R655" t="str">
        <f>HYPERLINK("https://docs.wto.org/imrd/directdoc.asp?DDFDocuments/t/G/SPS/NBDI30A3.docx", "https://docs.wto.org/imrd/directdoc.asp?DDFDocuments/t/G/SPS/NBDI30A3.docx")</f>
        <v>https://docs.wto.org/imrd/directdoc.asp?DDFDocuments/t/G/SPS/NBDI30A3.docx</v>
      </c>
      <c r="S655" t="str">
        <f>HYPERLINK("https://docs.wto.org/imrd/directdoc.asp?DDFDocuments/u/G/SPS/NBDI30A3.docx", "https://docs.wto.org/imrd/directdoc.asp?DDFDocuments/u/G/SPS/NBDI30A3.docx")</f>
        <v>https://docs.wto.org/imrd/directdoc.asp?DDFDocuments/u/G/SPS/NBDI30A3.docx</v>
      </c>
      <c r="T655" t="str">
        <f>HYPERLINK("https://docs.wto.org/imrd/directdoc.asp?DDFDocuments/v/G/SPS/NBDI30A3.docx", "https://docs.wto.org/imrd/directdoc.asp?DDFDocuments/v/G/SPS/NBDI30A3.docx")</f>
        <v>https://docs.wto.org/imrd/directdoc.asp?DDFDocuments/v/G/SPS/NBDI30A3.docx</v>
      </c>
      <c r="U655" t="s">
        <v>43</v>
      </c>
      <c r="V655" t="s">
        <v>43</v>
      </c>
      <c r="W655" t="s">
        <v>43</v>
      </c>
      <c r="X655" t="s">
        <v>43</v>
      </c>
      <c r="Y655" t="s">
        <v>43</v>
      </c>
      <c r="Z655" t="s">
        <v>43</v>
      </c>
      <c r="AA655" t="s">
        <v>43</v>
      </c>
      <c r="AB655" s="2" t="s">
        <v>43</v>
      </c>
      <c r="AC655" t="s">
        <v>43</v>
      </c>
      <c r="AD655" t="s">
        <v>43</v>
      </c>
      <c r="AE655" t="s">
        <v>43</v>
      </c>
      <c r="AF655" t="s">
        <v>43</v>
      </c>
      <c r="AG655" t="s">
        <v>43</v>
      </c>
      <c r="AH655" s="2" t="s">
        <v>43</v>
      </c>
    </row>
    <row r="656" spans="1:34" ht="90">
      <c r="A656" s="6" t="s">
        <v>577</v>
      </c>
      <c r="B656" s="7">
        <v>46064</v>
      </c>
      <c r="C656" s="9" t="str">
        <f>HYPERLINK("https://eping.wto.org/en/Search?viewData= G/TBT/N/BDI/216/Add.3, G/TBT/N/KEN/1225/Add.3, G/TBT/N/RWA/642/Add.3, G/TBT/N/TZA/717/Add.3, G/TBT/N/UGA/1549/Add.3"," G/TBT/N/BDI/216/Add.3, G/TBT/N/KEN/1225/Add.3, G/TBT/N/RWA/642/Add.3, G/TBT/N/TZA/717/Add.3, G/TBT/N/UGA/1549/Add.3")</f>
        <v xml:space="preserve"> G/TBT/N/BDI/216/Add.3, G/TBT/N/KEN/1225/Add.3, G/TBT/N/RWA/642/Add.3, G/TBT/N/TZA/717/Add.3, G/TBT/N/UGA/1549/Add.3</v>
      </c>
      <c r="D656" s="8" t="s">
        <v>2835</v>
      </c>
      <c r="E656" s="8" t="s">
        <v>2836</v>
      </c>
      <c r="F656" s="8" t="s">
        <v>2837</v>
      </c>
      <c r="G656" s="8" t="s">
        <v>43</v>
      </c>
      <c r="H656" s="8" t="s">
        <v>39</v>
      </c>
      <c r="I656" s="8" t="s">
        <v>2846</v>
      </c>
      <c r="J656" s="8" t="s">
        <v>43</v>
      </c>
      <c r="K656" s="8" t="s">
        <v>2847</v>
      </c>
      <c r="L656" s="6"/>
      <c r="M656" s="7" t="s">
        <v>43</v>
      </c>
      <c r="N656" s="7"/>
      <c r="O656" s="7"/>
      <c r="P656" s="6" t="s">
        <v>44</v>
      </c>
      <c r="Q656" s="6"/>
      <c r="R656" t="str">
        <f>HYPERLINK("https://docs.wto.org/imrd/directdoc.asp?DDFDocuments/t/G/TBTN22/BDI216A3.docx", "https://docs.wto.org/imrd/directdoc.asp?DDFDocuments/t/G/TBTN22/BDI216A3.docx")</f>
        <v>https://docs.wto.org/imrd/directdoc.asp?DDFDocuments/t/G/TBTN22/BDI216A3.docx</v>
      </c>
      <c r="S656" t="str">
        <f>HYPERLINK("https://docs.wto.org/imrd/directdoc.asp?DDFDocuments/u/G/TBTN22/BDI216A3.docx", "https://docs.wto.org/imrd/directdoc.asp?DDFDocuments/u/G/TBTN22/BDI216A3.docx")</f>
        <v>https://docs.wto.org/imrd/directdoc.asp?DDFDocuments/u/G/TBTN22/BDI216A3.docx</v>
      </c>
      <c r="T656" t="str">
        <f>HYPERLINK("https://docs.wto.org/imrd/directdoc.asp?DDFDocuments/v/G/TBTN22/BDI216A3.docx", "https://docs.wto.org/imrd/directdoc.asp?DDFDocuments/v/G/TBTN22/BDI216A3.docx")</f>
        <v>https://docs.wto.org/imrd/directdoc.asp?DDFDocuments/v/G/TBTN22/BDI216A3.docx</v>
      </c>
      <c r="U656" t="s">
        <v>64</v>
      </c>
      <c r="V656" t="s">
        <v>46</v>
      </c>
      <c r="W656" t="s">
        <v>46</v>
      </c>
      <c r="X656" t="s">
        <v>46</v>
      </c>
      <c r="Y656" t="s">
        <v>46</v>
      </c>
      <c r="Z656" t="s">
        <v>46</v>
      </c>
      <c r="AA656" t="s">
        <v>46</v>
      </c>
      <c r="AB656" s="2" t="s">
        <v>43</v>
      </c>
      <c r="AC656" t="s">
        <v>43</v>
      </c>
      <c r="AD656" t="s">
        <v>43</v>
      </c>
      <c r="AE656" t="s">
        <v>43</v>
      </c>
      <c r="AF656" t="s">
        <v>43</v>
      </c>
      <c r="AG656" t="s">
        <v>43</v>
      </c>
      <c r="AH656" s="2" t="s">
        <v>43</v>
      </c>
    </row>
    <row r="657" spans="1:34" ht="90">
      <c r="A657" s="6" t="s">
        <v>124</v>
      </c>
      <c r="B657" s="7">
        <v>46064</v>
      </c>
      <c r="C657" s="9" t="str">
        <f>HYPERLINK("https://eping.wto.org/en/Search?viewData= G/TBT/N/BDI/254/Add.1, G/TBT/N/KEN/1275/Add.1, G/TBT/N/RWA/684/Add.1, G/TBT/N/TZA/808/Add.1, G/TBT/N/UGA/1658/Add.1"," G/TBT/N/BDI/254/Add.1, G/TBT/N/KEN/1275/Add.1, G/TBT/N/RWA/684/Add.1, G/TBT/N/TZA/808/Add.1, G/TBT/N/UGA/1658/Add.1")</f>
        <v xml:space="preserve"> G/TBT/N/BDI/254/Add.1, G/TBT/N/KEN/1275/Add.1, G/TBT/N/RWA/684/Add.1, G/TBT/N/TZA/808/Add.1, G/TBT/N/UGA/1658/Add.1</v>
      </c>
      <c r="D657" s="8" t="s">
        <v>2882</v>
      </c>
      <c r="E657" s="8" t="s">
        <v>2883</v>
      </c>
      <c r="F657" s="8" t="s">
        <v>2884</v>
      </c>
      <c r="G657" s="8" t="s">
        <v>2885</v>
      </c>
      <c r="H657" s="8" t="s">
        <v>2826</v>
      </c>
      <c r="I657" s="8" t="s">
        <v>2827</v>
      </c>
      <c r="J657" s="8"/>
      <c r="K657" s="8" t="s">
        <v>1029</v>
      </c>
      <c r="L657" s="6"/>
      <c r="M657" s="7" t="s">
        <v>43</v>
      </c>
      <c r="N657" s="7"/>
      <c r="O657" s="7"/>
      <c r="P657" s="6" t="s">
        <v>44</v>
      </c>
      <c r="Q657" s="6"/>
      <c r="R657" t="str">
        <f>HYPERLINK("https://docs.wto.org/imrd/directdoc.asp?DDFDocuments/t/G/TBTN22/BDI254A1.docx", "https://docs.wto.org/imrd/directdoc.asp?DDFDocuments/t/G/TBTN22/BDI254A1.docx")</f>
        <v>https://docs.wto.org/imrd/directdoc.asp?DDFDocuments/t/G/TBTN22/BDI254A1.docx</v>
      </c>
      <c r="S657" t="str">
        <f>HYPERLINK("https://docs.wto.org/imrd/directdoc.asp?DDFDocuments/u/G/TBTN22/BDI254A1.docx", "https://docs.wto.org/imrd/directdoc.asp?DDFDocuments/u/G/TBTN22/BDI254A1.docx")</f>
        <v>https://docs.wto.org/imrd/directdoc.asp?DDFDocuments/u/G/TBTN22/BDI254A1.docx</v>
      </c>
      <c r="T657" t="str">
        <f>HYPERLINK("https://docs.wto.org/imrd/directdoc.asp?DDFDocuments/v/G/TBTN22/BDI254A1.docx", "https://docs.wto.org/imrd/directdoc.asp?DDFDocuments/v/G/TBTN22/BDI254A1.docx")</f>
        <v>https://docs.wto.org/imrd/directdoc.asp?DDFDocuments/v/G/TBTN22/BDI254A1.docx</v>
      </c>
      <c r="U657" t="s">
        <v>64</v>
      </c>
      <c r="V657" t="s">
        <v>46</v>
      </c>
      <c r="W657" t="s">
        <v>46</v>
      </c>
      <c r="X657" t="s">
        <v>46</v>
      </c>
      <c r="Y657" t="s">
        <v>46</v>
      </c>
      <c r="Z657" t="s">
        <v>46</v>
      </c>
      <c r="AA657" t="s">
        <v>46</v>
      </c>
      <c r="AB657" s="2" t="s">
        <v>43</v>
      </c>
      <c r="AC657" t="s">
        <v>43</v>
      </c>
      <c r="AD657" t="s">
        <v>43</v>
      </c>
      <c r="AE657" t="s">
        <v>43</v>
      </c>
      <c r="AF657" t="s">
        <v>43</v>
      </c>
      <c r="AG657" t="s">
        <v>43</v>
      </c>
      <c r="AH657" s="2" t="s">
        <v>43</v>
      </c>
    </row>
    <row r="658" spans="1:34" ht="90">
      <c r="A658" s="6" t="s">
        <v>509</v>
      </c>
      <c r="B658" s="7">
        <v>46064</v>
      </c>
      <c r="C658" s="9" t="str">
        <f>HYPERLINK("https://eping.wto.org/en/Search?viewData= G/TBT/N/BDI/254/Add.1, G/TBT/N/KEN/1275/Add.1, G/TBT/N/RWA/684/Add.1, G/TBT/N/TZA/808/Add.1, G/TBT/N/UGA/1658/Add.1"," G/TBT/N/BDI/254/Add.1, G/TBT/N/KEN/1275/Add.1, G/TBT/N/RWA/684/Add.1, G/TBT/N/TZA/808/Add.1, G/TBT/N/UGA/1658/Add.1")</f>
        <v xml:space="preserve"> G/TBT/N/BDI/254/Add.1, G/TBT/N/KEN/1275/Add.1, G/TBT/N/RWA/684/Add.1, G/TBT/N/TZA/808/Add.1, G/TBT/N/UGA/1658/Add.1</v>
      </c>
      <c r="D658" s="8" t="s">
        <v>2882</v>
      </c>
      <c r="E658" s="8" t="s">
        <v>2883</v>
      </c>
      <c r="F658" s="8" t="s">
        <v>2884</v>
      </c>
      <c r="G658" s="8" t="s">
        <v>2885</v>
      </c>
      <c r="H658" s="8" t="s">
        <v>2826</v>
      </c>
      <c r="I658" s="8" t="s">
        <v>2827</v>
      </c>
      <c r="J658" s="8"/>
      <c r="K658" s="8" t="s">
        <v>1029</v>
      </c>
      <c r="L658" s="6"/>
      <c r="M658" s="7" t="s">
        <v>43</v>
      </c>
      <c r="N658" s="7"/>
      <c r="O658" s="7"/>
      <c r="P658" s="6" t="s">
        <v>44</v>
      </c>
      <c r="Q658" s="6"/>
      <c r="R658" t="str">
        <f>HYPERLINK("https://docs.wto.org/imrd/directdoc.asp?DDFDocuments/t/G/TBTN22/BDI254A1.docx", "https://docs.wto.org/imrd/directdoc.asp?DDFDocuments/t/G/TBTN22/BDI254A1.docx")</f>
        <v>https://docs.wto.org/imrd/directdoc.asp?DDFDocuments/t/G/TBTN22/BDI254A1.docx</v>
      </c>
      <c r="S658" t="str">
        <f>HYPERLINK("https://docs.wto.org/imrd/directdoc.asp?DDFDocuments/u/G/TBTN22/BDI254A1.docx", "https://docs.wto.org/imrd/directdoc.asp?DDFDocuments/u/G/TBTN22/BDI254A1.docx")</f>
        <v>https://docs.wto.org/imrd/directdoc.asp?DDFDocuments/u/G/TBTN22/BDI254A1.docx</v>
      </c>
      <c r="T658" t="str">
        <f>HYPERLINK("https://docs.wto.org/imrd/directdoc.asp?DDFDocuments/v/G/TBTN22/BDI254A1.docx", "https://docs.wto.org/imrd/directdoc.asp?DDFDocuments/v/G/TBTN22/BDI254A1.docx")</f>
        <v>https://docs.wto.org/imrd/directdoc.asp?DDFDocuments/v/G/TBTN22/BDI254A1.docx</v>
      </c>
      <c r="U658" t="s">
        <v>64</v>
      </c>
      <c r="V658" t="s">
        <v>46</v>
      </c>
      <c r="W658" t="s">
        <v>46</v>
      </c>
      <c r="X658" t="s">
        <v>46</v>
      </c>
      <c r="Y658" t="s">
        <v>46</v>
      </c>
      <c r="Z658" t="s">
        <v>46</v>
      </c>
      <c r="AA658" t="s">
        <v>46</v>
      </c>
      <c r="AB658" s="2" t="s">
        <v>43</v>
      </c>
      <c r="AC658" t="s">
        <v>43</v>
      </c>
      <c r="AD658" t="s">
        <v>43</v>
      </c>
      <c r="AE658" t="s">
        <v>43</v>
      </c>
      <c r="AF658" t="s">
        <v>43</v>
      </c>
      <c r="AG658" t="s">
        <v>43</v>
      </c>
      <c r="AH658" s="2" t="s">
        <v>43</v>
      </c>
    </row>
    <row r="659" spans="1:34" ht="90">
      <c r="A659" s="6" t="s">
        <v>509</v>
      </c>
      <c r="B659" s="7">
        <v>46064</v>
      </c>
      <c r="C659" s="9" t="str">
        <f>HYPERLINK("https://eping.wto.org/en/Search?viewData= G/TBT/N/BDI/281/Add.3, G/TBT/N/KEN/1315/Add.3, G/TBT/N/RWA/715/Add.3, G/TBT/N/TZA/834/Add.3, G/TBT/N/UGA/1689/Add.3"," G/TBT/N/BDI/281/Add.3, G/TBT/N/KEN/1315/Add.3, G/TBT/N/RWA/715/Add.3, G/TBT/N/TZA/834/Add.3, G/TBT/N/UGA/1689/Add.3")</f>
        <v xml:space="preserve"> G/TBT/N/BDI/281/Add.3, G/TBT/N/KEN/1315/Add.3, G/TBT/N/RWA/715/Add.3, G/TBT/N/TZA/834/Add.3, G/TBT/N/UGA/1689/Add.3</v>
      </c>
      <c r="D659" s="8" t="s">
        <v>2828</v>
      </c>
      <c r="E659" s="8" t="s">
        <v>2829</v>
      </c>
      <c r="F659" s="8" t="s">
        <v>2825</v>
      </c>
      <c r="G659" s="8" t="s">
        <v>43</v>
      </c>
      <c r="H659" s="8" t="s">
        <v>2826</v>
      </c>
      <c r="I659" s="8" t="s">
        <v>2827</v>
      </c>
      <c r="J659" s="8" t="s">
        <v>43</v>
      </c>
      <c r="K659" s="8" t="s">
        <v>1029</v>
      </c>
      <c r="L659" s="6"/>
      <c r="M659" s="7" t="s">
        <v>43</v>
      </c>
      <c r="N659" s="7"/>
      <c r="O659" s="7"/>
      <c r="P659" s="6" t="s">
        <v>44</v>
      </c>
      <c r="Q659" s="6"/>
      <c r="R659" t="str">
        <f>HYPERLINK("https://docs.wto.org/imrd/directdoc.asp?DDFDocuments/t/G/TBTN22/BDI281A3.docx", "https://docs.wto.org/imrd/directdoc.asp?DDFDocuments/t/G/TBTN22/BDI281A3.docx")</f>
        <v>https://docs.wto.org/imrd/directdoc.asp?DDFDocuments/t/G/TBTN22/BDI281A3.docx</v>
      </c>
      <c r="S659" t="str">
        <f>HYPERLINK("https://docs.wto.org/imrd/directdoc.asp?DDFDocuments/u/G/TBTN22/BDI281A3.docx", "https://docs.wto.org/imrd/directdoc.asp?DDFDocuments/u/G/TBTN22/BDI281A3.docx")</f>
        <v>https://docs.wto.org/imrd/directdoc.asp?DDFDocuments/u/G/TBTN22/BDI281A3.docx</v>
      </c>
      <c r="T659" t="str">
        <f>HYPERLINK("https://docs.wto.org/imrd/directdoc.asp?DDFDocuments/v/G/TBTN22/BDI281A3.docx", "https://docs.wto.org/imrd/directdoc.asp?DDFDocuments/v/G/TBTN22/BDI281A3.docx")</f>
        <v>https://docs.wto.org/imrd/directdoc.asp?DDFDocuments/v/G/TBTN22/BDI281A3.docx</v>
      </c>
      <c r="U659" t="s">
        <v>64</v>
      </c>
      <c r="V659" t="s">
        <v>46</v>
      </c>
      <c r="W659" t="s">
        <v>64</v>
      </c>
      <c r="X659" t="s">
        <v>46</v>
      </c>
      <c r="Y659" t="s">
        <v>46</v>
      </c>
      <c r="Z659" t="s">
        <v>46</v>
      </c>
      <c r="AA659" t="s">
        <v>46</v>
      </c>
      <c r="AB659" s="2" t="s">
        <v>43</v>
      </c>
      <c r="AC659" t="s">
        <v>43</v>
      </c>
      <c r="AD659" t="s">
        <v>43</v>
      </c>
      <c r="AE659" t="s">
        <v>43</v>
      </c>
      <c r="AF659" t="s">
        <v>43</v>
      </c>
      <c r="AG659" t="s">
        <v>43</v>
      </c>
      <c r="AH659" s="2" t="s">
        <v>43</v>
      </c>
    </row>
    <row r="660" spans="1:34" ht="150">
      <c r="A660" s="6" t="s">
        <v>185</v>
      </c>
      <c r="B660" s="7">
        <v>46063</v>
      </c>
      <c r="C660" s="9" t="str">
        <f>HYPERLINK("https://eping.wto.org/en/Search?viewData= G/TBT/N/CHN/2203"," G/TBT/N/CHN/2203")</f>
        <v xml:space="preserve"> G/TBT/N/CHN/2203</v>
      </c>
      <c r="D660" s="8" t="s">
        <v>2937</v>
      </c>
      <c r="E660" s="8" t="s">
        <v>2938</v>
      </c>
      <c r="F660" s="8" t="s">
        <v>2939</v>
      </c>
      <c r="G660" s="8" t="s">
        <v>2940</v>
      </c>
      <c r="H660" s="8" t="s">
        <v>2941</v>
      </c>
      <c r="I660" s="8" t="s">
        <v>1101</v>
      </c>
      <c r="J660" s="8" t="s">
        <v>43</v>
      </c>
      <c r="K660" s="8" t="s">
        <v>43</v>
      </c>
      <c r="L660" s="6"/>
      <c r="M660" s="7">
        <v>46123</v>
      </c>
      <c r="N660" s="7" t="s">
        <v>79</v>
      </c>
      <c r="O660" s="7" t="s">
        <v>114</v>
      </c>
      <c r="P660" s="6" t="s">
        <v>62</v>
      </c>
      <c r="Q660" s="8" t="s">
        <v>2942</v>
      </c>
      <c r="R660" t="str">
        <f>HYPERLINK("https://docs.wto.org/imrd/directdoc.asp?DDFDocuments/t/G/TBTN26/CHN2203.docx", "https://docs.wto.org/imrd/directdoc.asp?DDFDocuments/t/G/TBTN26/CHN2203.docx")</f>
        <v>https://docs.wto.org/imrd/directdoc.asp?DDFDocuments/t/G/TBTN26/CHN2203.docx</v>
      </c>
      <c r="S660" t="str">
        <f>HYPERLINK("https://docs.wto.org/imrd/directdoc.asp?DDFDocuments/u/G/TBTN26/CHN2203.docx", "https://docs.wto.org/imrd/directdoc.asp?DDFDocuments/u/G/TBTN26/CHN2203.docx")</f>
        <v>https://docs.wto.org/imrd/directdoc.asp?DDFDocuments/u/G/TBTN26/CHN2203.docx</v>
      </c>
      <c r="T660" t="str">
        <f>HYPERLINK("https://docs.wto.org/imrd/directdoc.asp?DDFDocuments/v/G/TBTN26/CHN2203.docx", "https://docs.wto.org/imrd/directdoc.asp?DDFDocuments/v/G/TBTN26/CHN2203.docx")</f>
        <v>https://docs.wto.org/imrd/directdoc.asp?DDFDocuments/v/G/TBTN26/CHN2203.docx</v>
      </c>
      <c r="U660" t="s">
        <v>64</v>
      </c>
      <c r="V660" t="s">
        <v>46</v>
      </c>
      <c r="W660" t="s">
        <v>46</v>
      </c>
      <c r="X660" t="s">
        <v>46</v>
      </c>
      <c r="Y660" t="s">
        <v>46</v>
      </c>
      <c r="Z660" t="s">
        <v>46</v>
      </c>
      <c r="AA660" t="s">
        <v>46</v>
      </c>
      <c r="AB660" s="2" t="s">
        <v>43</v>
      </c>
      <c r="AC660" t="s">
        <v>43</v>
      </c>
      <c r="AD660" t="s">
        <v>43</v>
      </c>
      <c r="AE660" t="s">
        <v>43</v>
      </c>
      <c r="AF660" t="s">
        <v>43</v>
      </c>
      <c r="AG660" t="s">
        <v>43</v>
      </c>
      <c r="AH660" s="2" t="s">
        <v>43</v>
      </c>
    </row>
    <row r="661" spans="1:34" ht="105">
      <c r="A661" s="6" t="s">
        <v>356</v>
      </c>
      <c r="B661" s="7">
        <v>46063</v>
      </c>
      <c r="C661" s="9" t="str">
        <f>HYPERLINK("https://eping.wto.org/en/Search?viewData= G/SPS/N/EU/918"," G/SPS/N/EU/918")</f>
        <v xml:space="preserve"> G/SPS/N/EU/918</v>
      </c>
      <c r="D661" s="8" t="s">
        <v>2943</v>
      </c>
      <c r="E661" s="8" t="s">
        <v>2944</v>
      </c>
      <c r="F661" s="8" t="s">
        <v>359</v>
      </c>
      <c r="G661" s="8" t="s">
        <v>156</v>
      </c>
      <c r="H661" s="8" t="s">
        <v>43</v>
      </c>
      <c r="I661" s="8" t="s">
        <v>361</v>
      </c>
      <c r="J661" s="8" t="s">
        <v>43</v>
      </c>
      <c r="K661" s="8" t="s">
        <v>2945</v>
      </c>
      <c r="L661" s="6"/>
      <c r="M661" s="7" t="s">
        <v>43</v>
      </c>
      <c r="N661" s="7">
        <v>46048</v>
      </c>
      <c r="O661" s="7" t="s">
        <v>1184</v>
      </c>
      <c r="P661" s="6" t="s">
        <v>62</v>
      </c>
      <c r="Q661" s="8" t="s">
        <v>2946</v>
      </c>
      <c r="R661" t="str">
        <f>HYPERLINK("https://docs.wto.org/imrd/directdoc.asp?DDFDocuments/t/G/SPS/NEU918.docx", "https://docs.wto.org/imrd/directdoc.asp?DDFDocuments/t/G/SPS/NEU918.docx")</f>
        <v>https://docs.wto.org/imrd/directdoc.asp?DDFDocuments/t/G/SPS/NEU918.docx</v>
      </c>
      <c r="S661" t="str">
        <f>HYPERLINK("https://docs.wto.org/imrd/directdoc.asp?DDFDocuments/u/G/SPS/NEU918.docx", "https://docs.wto.org/imrd/directdoc.asp?DDFDocuments/u/G/SPS/NEU918.docx")</f>
        <v>https://docs.wto.org/imrd/directdoc.asp?DDFDocuments/u/G/SPS/NEU918.docx</v>
      </c>
      <c r="T661" t="str">
        <f>HYPERLINK("https://docs.wto.org/imrd/directdoc.asp?DDFDocuments/v/G/SPS/NEU918.docx", "https://docs.wto.org/imrd/directdoc.asp?DDFDocuments/v/G/SPS/NEU918.docx")</f>
        <v>https://docs.wto.org/imrd/directdoc.asp?DDFDocuments/v/G/SPS/NEU918.docx</v>
      </c>
      <c r="U661" t="s">
        <v>43</v>
      </c>
      <c r="V661" t="s">
        <v>43</v>
      </c>
      <c r="W661" t="s">
        <v>43</v>
      </c>
      <c r="X661" t="s">
        <v>43</v>
      </c>
      <c r="Y661" t="s">
        <v>43</v>
      </c>
      <c r="Z661" t="s">
        <v>43</v>
      </c>
      <c r="AA661" t="s">
        <v>43</v>
      </c>
      <c r="AB661" s="2" t="s">
        <v>43</v>
      </c>
      <c r="AC661" t="s">
        <v>64</v>
      </c>
      <c r="AD661" t="s">
        <v>46</v>
      </c>
      <c r="AE661" t="s">
        <v>46</v>
      </c>
      <c r="AF661" t="s">
        <v>46</v>
      </c>
      <c r="AG661" t="s">
        <v>64</v>
      </c>
      <c r="AH661" s="2" t="s">
        <v>43</v>
      </c>
    </row>
    <row r="662" spans="1:34" ht="135">
      <c r="A662" s="6" t="s">
        <v>54</v>
      </c>
      <c r="B662" s="7">
        <v>46063</v>
      </c>
      <c r="C662" s="9" t="str">
        <f>HYPERLINK("https://eping.wto.org/en/Search?viewData= G/SPS/N/AUS/607/Add.2"," G/SPS/N/AUS/607/Add.2")</f>
        <v xml:space="preserve"> G/SPS/N/AUS/607/Add.2</v>
      </c>
      <c r="D662" s="8" t="s">
        <v>2947</v>
      </c>
      <c r="E662" s="8" t="s">
        <v>2948</v>
      </c>
      <c r="F662" s="8" t="s">
        <v>2949</v>
      </c>
      <c r="G662" s="8" t="s">
        <v>2950</v>
      </c>
      <c r="H662" s="8" t="s">
        <v>43</v>
      </c>
      <c r="I662" s="8" t="s">
        <v>254</v>
      </c>
      <c r="J662" s="8" t="s">
        <v>43</v>
      </c>
      <c r="K662" s="8" t="s">
        <v>2951</v>
      </c>
      <c r="L662" s="6"/>
      <c r="M662" s="7" t="s">
        <v>43</v>
      </c>
      <c r="N662" s="7"/>
      <c r="O662" s="7"/>
      <c r="P662" s="6" t="s">
        <v>44</v>
      </c>
      <c r="Q662" s="6"/>
      <c r="R662" t="str">
        <f>HYPERLINK("https://docs.wto.org/imrd/directdoc.asp?DDFDocuments/t/G/SPS/NAUS607A2.docx", "https://docs.wto.org/imrd/directdoc.asp?DDFDocuments/t/G/SPS/NAUS607A2.docx")</f>
        <v>https://docs.wto.org/imrd/directdoc.asp?DDFDocuments/t/G/SPS/NAUS607A2.docx</v>
      </c>
      <c r="S662" t="str">
        <f>HYPERLINK("https://docs.wto.org/imrd/directdoc.asp?DDFDocuments/u/G/SPS/NAUS607A2.docx", "https://docs.wto.org/imrd/directdoc.asp?DDFDocuments/u/G/SPS/NAUS607A2.docx")</f>
        <v>https://docs.wto.org/imrd/directdoc.asp?DDFDocuments/u/G/SPS/NAUS607A2.docx</v>
      </c>
      <c r="T662" t="str">
        <f>HYPERLINK("https://docs.wto.org/imrd/directdoc.asp?DDFDocuments/v/G/SPS/NAUS607A2.docx", "https://docs.wto.org/imrd/directdoc.asp?DDFDocuments/v/G/SPS/NAUS607A2.docx")</f>
        <v>https://docs.wto.org/imrd/directdoc.asp?DDFDocuments/v/G/SPS/NAUS607A2.docx</v>
      </c>
      <c r="U662" t="s">
        <v>43</v>
      </c>
      <c r="V662" t="s">
        <v>43</v>
      </c>
      <c r="W662" t="s">
        <v>43</v>
      </c>
      <c r="X662" t="s">
        <v>43</v>
      </c>
      <c r="Y662" t="s">
        <v>43</v>
      </c>
      <c r="Z662" t="s">
        <v>43</v>
      </c>
      <c r="AA662" t="s">
        <v>43</v>
      </c>
      <c r="AB662" s="2" t="s">
        <v>43</v>
      </c>
      <c r="AC662" t="s">
        <v>43</v>
      </c>
      <c r="AD662" t="s">
        <v>43</v>
      </c>
      <c r="AE662" t="s">
        <v>43</v>
      </c>
      <c r="AF662" t="s">
        <v>43</v>
      </c>
      <c r="AG662" t="s">
        <v>43</v>
      </c>
      <c r="AH662" s="2" t="s">
        <v>43</v>
      </c>
    </row>
    <row r="663" spans="1:34" ht="90">
      <c r="A663" s="6" t="s">
        <v>47</v>
      </c>
      <c r="B663" s="7">
        <v>46063</v>
      </c>
      <c r="C663" s="9" t="str">
        <f>HYPERLINK("https://eping.wto.org/en/Search?viewData= G/TBT/N/CAN/770"," G/TBT/N/CAN/770")</f>
        <v xml:space="preserve"> G/TBT/N/CAN/770</v>
      </c>
      <c r="D663" s="8" t="s">
        <v>2952</v>
      </c>
      <c r="E663" s="8" t="s">
        <v>2953</v>
      </c>
      <c r="F663" s="8" t="s">
        <v>2954</v>
      </c>
      <c r="G663" s="8" t="s">
        <v>2955</v>
      </c>
      <c r="H663" s="8" t="s">
        <v>43</v>
      </c>
      <c r="I663" s="8" t="s">
        <v>52</v>
      </c>
      <c r="J663" s="8" t="s">
        <v>2956</v>
      </c>
      <c r="K663" s="8" t="s">
        <v>43</v>
      </c>
      <c r="L663" s="6"/>
      <c r="M663" s="7">
        <v>46134</v>
      </c>
      <c r="N663" s="7" t="s">
        <v>2957</v>
      </c>
      <c r="O663" s="7" t="s">
        <v>2957</v>
      </c>
      <c r="P663" s="6" t="s">
        <v>62</v>
      </c>
      <c r="Q663" s="8" t="s">
        <v>2958</v>
      </c>
      <c r="R663" t="str">
        <f>HYPERLINK("https://docs.wto.org/imrd/directdoc.asp?DDFDocuments/t/G/TBTN26/CAN770.docx", "https://docs.wto.org/imrd/directdoc.asp?DDFDocuments/t/G/TBTN26/CAN770.docx")</f>
        <v>https://docs.wto.org/imrd/directdoc.asp?DDFDocuments/t/G/TBTN26/CAN770.docx</v>
      </c>
      <c r="S663" t="str">
        <f>HYPERLINK("https://docs.wto.org/imrd/directdoc.asp?DDFDocuments/u/G/TBTN26/CAN770.docx", "https://docs.wto.org/imrd/directdoc.asp?DDFDocuments/u/G/TBTN26/CAN770.docx")</f>
        <v>https://docs.wto.org/imrd/directdoc.asp?DDFDocuments/u/G/TBTN26/CAN770.docx</v>
      </c>
      <c r="T663" t="str">
        <f>HYPERLINK("https://docs.wto.org/imrd/directdoc.asp?DDFDocuments/v/G/TBTN26/CAN770.docx", "https://docs.wto.org/imrd/directdoc.asp?DDFDocuments/v/G/TBTN26/CAN770.docx")</f>
        <v>https://docs.wto.org/imrd/directdoc.asp?DDFDocuments/v/G/TBTN26/CAN770.docx</v>
      </c>
      <c r="U663" t="s">
        <v>64</v>
      </c>
      <c r="V663" t="s">
        <v>46</v>
      </c>
      <c r="W663" t="s">
        <v>46</v>
      </c>
      <c r="X663" t="s">
        <v>46</v>
      </c>
      <c r="Y663" t="s">
        <v>46</v>
      </c>
      <c r="Z663" t="s">
        <v>46</v>
      </c>
      <c r="AA663" t="s">
        <v>46</v>
      </c>
      <c r="AB663" s="2" t="s">
        <v>2959</v>
      </c>
      <c r="AC663" t="s">
        <v>43</v>
      </c>
      <c r="AD663" t="s">
        <v>43</v>
      </c>
      <c r="AE663" t="s">
        <v>43</v>
      </c>
      <c r="AF663" t="s">
        <v>43</v>
      </c>
      <c r="AG663" t="s">
        <v>43</v>
      </c>
      <c r="AH663" s="2" t="s">
        <v>43</v>
      </c>
    </row>
    <row r="664" spans="1:34" ht="150">
      <c r="A664" s="6" t="s">
        <v>185</v>
      </c>
      <c r="B664" s="7">
        <v>46063</v>
      </c>
      <c r="C664" s="9" t="str">
        <f>HYPERLINK("https://eping.wto.org/en/Search?viewData= G/TBT/N/CHN/2199"," G/TBT/N/CHN/2199")</f>
        <v xml:space="preserve"> G/TBT/N/CHN/2199</v>
      </c>
      <c r="D664" s="8" t="s">
        <v>2960</v>
      </c>
      <c r="E664" s="8" t="s">
        <v>2961</v>
      </c>
      <c r="F664" s="8" t="s">
        <v>2939</v>
      </c>
      <c r="G664" s="8" t="s">
        <v>2940</v>
      </c>
      <c r="H664" s="8" t="s">
        <v>2941</v>
      </c>
      <c r="I664" s="8" t="s">
        <v>295</v>
      </c>
      <c r="J664" s="8" t="s">
        <v>43</v>
      </c>
      <c r="K664" s="8" t="s">
        <v>43</v>
      </c>
      <c r="L664" s="6"/>
      <c r="M664" s="7">
        <v>46123</v>
      </c>
      <c r="N664" s="7" t="s">
        <v>79</v>
      </c>
      <c r="O664" s="7" t="s">
        <v>114</v>
      </c>
      <c r="P664" s="6" t="s">
        <v>62</v>
      </c>
      <c r="Q664" s="8" t="s">
        <v>2962</v>
      </c>
      <c r="R664" t="str">
        <f>HYPERLINK("https://docs.wto.org/imrd/directdoc.asp?DDFDocuments/t/G/TBTN26/CHN2199.docx", "https://docs.wto.org/imrd/directdoc.asp?DDFDocuments/t/G/TBTN26/CHN2199.docx")</f>
        <v>https://docs.wto.org/imrd/directdoc.asp?DDFDocuments/t/G/TBTN26/CHN2199.docx</v>
      </c>
      <c r="S664" t="str">
        <f>HYPERLINK("https://docs.wto.org/imrd/directdoc.asp?DDFDocuments/u/G/TBTN26/CHN2199.docx", "https://docs.wto.org/imrd/directdoc.asp?DDFDocuments/u/G/TBTN26/CHN2199.docx")</f>
        <v>https://docs.wto.org/imrd/directdoc.asp?DDFDocuments/u/G/TBTN26/CHN2199.docx</v>
      </c>
      <c r="T664" t="str">
        <f>HYPERLINK("https://docs.wto.org/imrd/directdoc.asp?DDFDocuments/v/G/TBTN26/CHN2199.docx", "https://docs.wto.org/imrd/directdoc.asp?DDFDocuments/v/G/TBTN26/CHN2199.docx")</f>
        <v>https://docs.wto.org/imrd/directdoc.asp?DDFDocuments/v/G/TBTN26/CHN2199.docx</v>
      </c>
      <c r="U664" t="s">
        <v>64</v>
      </c>
      <c r="V664" t="s">
        <v>46</v>
      </c>
      <c r="W664" t="s">
        <v>46</v>
      </c>
      <c r="X664" t="s">
        <v>46</v>
      </c>
      <c r="Y664" t="s">
        <v>46</v>
      </c>
      <c r="Z664" t="s">
        <v>46</v>
      </c>
      <c r="AA664" t="s">
        <v>46</v>
      </c>
      <c r="AB664" s="2" t="s">
        <v>43</v>
      </c>
      <c r="AC664" t="s">
        <v>43</v>
      </c>
      <c r="AD664" t="s">
        <v>43</v>
      </c>
      <c r="AE664" t="s">
        <v>43</v>
      </c>
      <c r="AF664" t="s">
        <v>43</v>
      </c>
      <c r="AG664" t="s">
        <v>43</v>
      </c>
      <c r="AH664" s="2" t="s">
        <v>43</v>
      </c>
    </row>
    <row r="665" spans="1:34" ht="120">
      <c r="A665" s="6" t="s">
        <v>1328</v>
      </c>
      <c r="B665" s="7">
        <v>46063</v>
      </c>
      <c r="C665" s="9" t="str">
        <f>HYPERLINK("https://eping.wto.org/en/Search?viewData= G/TBT/N/PHL/355"," G/TBT/N/PHL/355")</f>
        <v xml:space="preserve"> G/TBT/N/PHL/355</v>
      </c>
      <c r="D665" s="8" t="s">
        <v>2963</v>
      </c>
      <c r="E665" s="8" t="s">
        <v>2964</v>
      </c>
      <c r="F665" s="8" t="s">
        <v>2837</v>
      </c>
      <c r="G665" s="8" t="s">
        <v>43</v>
      </c>
      <c r="H665" s="8" t="s">
        <v>669</v>
      </c>
      <c r="I665" s="8" t="s">
        <v>275</v>
      </c>
      <c r="J665" s="8" t="s">
        <v>43</v>
      </c>
      <c r="K665" s="8" t="s">
        <v>240</v>
      </c>
      <c r="L665" s="6"/>
      <c r="M665" s="7">
        <v>46122</v>
      </c>
      <c r="N665" s="7" t="s">
        <v>79</v>
      </c>
      <c r="O665" s="7" t="s">
        <v>79</v>
      </c>
      <c r="P665" s="6" t="s">
        <v>62</v>
      </c>
      <c r="Q665" s="8" t="s">
        <v>2965</v>
      </c>
      <c r="R665" t="str">
        <f>HYPERLINK("https://docs.wto.org/imrd/directdoc.asp?DDFDocuments/t/G/TBTN26/PHL355.docx", "https://docs.wto.org/imrd/directdoc.asp?DDFDocuments/t/G/TBTN26/PHL355.docx")</f>
        <v>https://docs.wto.org/imrd/directdoc.asp?DDFDocuments/t/G/TBTN26/PHL355.docx</v>
      </c>
      <c r="S665" t="str">
        <f>HYPERLINK("https://docs.wto.org/imrd/directdoc.asp?DDFDocuments/u/G/TBTN26/PHL355.docx", "https://docs.wto.org/imrd/directdoc.asp?DDFDocuments/u/G/TBTN26/PHL355.docx")</f>
        <v>https://docs.wto.org/imrd/directdoc.asp?DDFDocuments/u/G/TBTN26/PHL355.docx</v>
      </c>
      <c r="T665" t="str">
        <f>HYPERLINK("https://docs.wto.org/imrd/directdoc.asp?DDFDocuments/v/G/TBTN26/PHL355.docx", "https://docs.wto.org/imrd/directdoc.asp?DDFDocuments/v/G/TBTN26/PHL355.docx")</f>
        <v>https://docs.wto.org/imrd/directdoc.asp?DDFDocuments/v/G/TBTN26/PHL355.docx</v>
      </c>
      <c r="U665" t="s">
        <v>64</v>
      </c>
      <c r="V665" t="s">
        <v>46</v>
      </c>
      <c r="W665" t="s">
        <v>46</v>
      </c>
      <c r="X665" t="s">
        <v>46</v>
      </c>
      <c r="Y665" t="s">
        <v>46</v>
      </c>
      <c r="Z665" t="s">
        <v>46</v>
      </c>
      <c r="AA665" t="s">
        <v>46</v>
      </c>
      <c r="AB665" s="2" t="s">
        <v>2966</v>
      </c>
      <c r="AC665" t="s">
        <v>43</v>
      </c>
      <c r="AD665" t="s">
        <v>43</v>
      </c>
      <c r="AE665" t="s">
        <v>43</v>
      </c>
      <c r="AF665" t="s">
        <v>43</v>
      </c>
      <c r="AG665" t="s">
        <v>43</v>
      </c>
      <c r="AH665" s="2" t="s">
        <v>43</v>
      </c>
    </row>
    <row r="666" spans="1:34" ht="150">
      <c r="A666" s="6" t="s">
        <v>185</v>
      </c>
      <c r="B666" s="7">
        <v>46063</v>
      </c>
      <c r="C666" s="9" t="str">
        <f>HYPERLINK("https://eping.wto.org/en/Search?viewData= G/TBT/N/CHN/2204"," G/TBT/N/CHN/2204")</f>
        <v xml:space="preserve"> G/TBT/N/CHN/2204</v>
      </c>
      <c r="D666" s="8" t="s">
        <v>2967</v>
      </c>
      <c r="E666" s="8" t="s">
        <v>2968</v>
      </c>
      <c r="F666" s="8" t="s">
        <v>2939</v>
      </c>
      <c r="G666" s="8" t="s">
        <v>2940</v>
      </c>
      <c r="H666" s="8" t="s">
        <v>2941</v>
      </c>
      <c r="I666" s="8" t="s">
        <v>1101</v>
      </c>
      <c r="J666" s="8" t="s">
        <v>43</v>
      </c>
      <c r="K666" s="8" t="s">
        <v>43</v>
      </c>
      <c r="L666" s="6"/>
      <c r="M666" s="7">
        <v>46123</v>
      </c>
      <c r="N666" s="7" t="s">
        <v>79</v>
      </c>
      <c r="O666" s="7" t="s">
        <v>114</v>
      </c>
      <c r="P666" s="6" t="s">
        <v>62</v>
      </c>
      <c r="Q666" s="8" t="s">
        <v>2969</v>
      </c>
      <c r="R666" t="str">
        <f>HYPERLINK("https://docs.wto.org/imrd/directdoc.asp?DDFDocuments/t/G/TBTN26/CHN2204.docx", "https://docs.wto.org/imrd/directdoc.asp?DDFDocuments/t/G/TBTN26/CHN2204.docx")</f>
        <v>https://docs.wto.org/imrd/directdoc.asp?DDFDocuments/t/G/TBTN26/CHN2204.docx</v>
      </c>
      <c r="S666" t="str">
        <f>HYPERLINK("https://docs.wto.org/imrd/directdoc.asp?DDFDocuments/u/G/TBTN26/CHN2204.docx", "https://docs.wto.org/imrd/directdoc.asp?DDFDocuments/u/G/TBTN26/CHN2204.docx")</f>
        <v>https://docs.wto.org/imrd/directdoc.asp?DDFDocuments/u/G/TBTN26/CHN2204.docx</v>
      </c>
      <c r="T666" t="str">
        <f>HYPERLINK("https://docs.wto.org/imrd/directdoc.asp?DDFDocuments/v/G/TBTN26/CHN2204.docx", "https://docs.wto.org/imrd/directdoc.asp?DDFDocuments/v/G/TBTN26/CHN2204.docx")</f>
        <v>https://docs.wto.org/imrd/directdoc.asp?DDFDocuments/v/G/TBTN26/CHN2204.docx</v>
      </c>
      <c r="U666" t="s">
        <v>64</v>
      </c>
      <c r="V666" t="s">
        <v>46</v>
      </c>
      <c r="W666" t="s">
        <v>46</v>
      </c>
      <c r="X666" t="s">
        <v>46</v>
      </c>
      <c r="Y666" t="s">
        <v>46</v>
      </c>
      <c r="Z666" t="s">
        <v>46</v>
      </c>
      <c r="AA666" t="s">
        <v>46</v>
      </c>
      <c r="AB666" s="2" t="s">
        <v>43</v>
      </c>
      <c r="AC666" t="s">
        <v>43</v>
      </c>
      <c r="AD666" t="s">
        <v>43</v>
      </c>
      <c r="AE666" t="s">
        <v>43</v>
      </c>
      <c r="AF666" t="s">
        <v>43</v>
      </c>
      <c r="AG666" t="s">
        <v>43</v>
      </c>
      <c r="AH666" s="2" t="s">
        <v>43</v>
      </c>
    </row>
    <row r="667" spans="1:34" ht="225">
      <c r="A667" s="6" t="s">
        <v>74</v>
      </c>
      <c r="B667" s="7">
        <v>46063</v>
      </c>
      <c r="C667" s="9" t="str">
        <f>HYPERLINK("https://eping.wto.org/en/Search?viewData= G/TBT/N/IND/44/Add.17"," G/TBT/N/IND/44/Add.17")</f>
        <v xml:space="preserve"> G/TBT/N/IND/44/Add.17</v>
      </c>
      <c r="D667" s="8" t="s">
        <v>2970</v>
      </c>
      <c r="E667" s="8" t="s">
        <v>2971</v>
      </c>
      <c r="F667" s="8" t="s">
        <v>2972</v>
      </c>
      <c r="G667" s="8" t="s">
        <v>43</v>
      </c>
      <c r="H667" s="8" t="s">
        <v>2973</v>
      </c>
      <c r="I667" s="8" t="s">
        <v>275</v>
      </c>
      <c r="J667" s="8" t="s">
        <v>2974</v>
      </c>
      <c r="K667" s="8" t="s">
        <v>43</v>
      </c>
      <c r="L667" s="6"/>
      <c r="M667" s="7" t="s">
        <v>43</v>
      </c>
      <c r="N667" s="7"/>
      <c r="O667" s="7"/>
      <c r="P667" s="6" t="s">
        <v>44</v>
      </c>
      <c r="Q667" s="6"/>
      <c r="R667" t="str">
        <f>HYPERLINK("https://docs.wto.org/imrd/directdoc.asp?DDFDocuments/t/G/TBTN12/IND44A17.docx", "https://docs.wto.org/imrd/directdoc.asp?DDFDocuments/t/G/TBTN12/IND44A17.docx")</f>
        <v>https://docs.wto.org/imrd/directdoc.asp?DDFDocuments/t/G/TBTN12/IND44A17.docx</v>
      </c>
      <c r="S667" t="str">
        <f>HYPERLINK("https://docs.wto.org/imrd/directdoc.asp?DDFDocuments/u/G/TBTN12/IND44A17.docx", "https://docs.wto.org/imrd/directdoc.asp?DDFDocuments/u/G/TBTN12/IND44A17.docx")</f>
        <v>https://docs.wto.org/imrd/directdoc.asp?DDFDocuments/u/G/TBTN12/IND44A17.docx</v>
      </c>
      <c r="T667" t="str">
        <f>HYPERLINK("https://docs.wto.org/imrd/directdoc.asp?DDFDocuments/v/G/TBTN12/IND44A17.docx", "https://docs.wto.org/imrd/directdoc.asp?DDFDocuments/v/G/TBTN12/IND44A17.docx")</f>
        <v>https://docs.wto.org/imrd/directdoc.asp?DDFDocuments/v/G/TBTN12/IND44A17.docx</v>
      </c>
      <c r="U667" t="s">
        <v>64</v>
      </c>
      <c r="V667" t="s">
        <v>46</v>
      </c>
      <c r="W667" t="s">
        <v>46</v>
      </c>
      <c r="X667" t="s">
        <v>46</v>
      </c>
      <c r="Y667" t="s">
        <v>46</v>
      </c>
      <c r="Z667" t="s">
        <v>46</v>
      </c>
      <c r="AA667" t="s">
        <v>46</v>
      </c>
      <c r="AB667" s="2" t="s">
        <v>43</v>
      </c>
      <c r="AC667" t="s">
        <v>43</v>
      </c>
      <c r="AD667" t="s">
        <v>43</v>
      </c>
      <c r="AE667" t="s">
        <v>43</v>
      </c>
      <c r="AF667" t="s">
        <v>43</v>
      </c>
      <c r="AG667" t="s">
        <v>43</v>
      </c>
      <c r="AH667" s="2" t="s">
        <v>43</v>
      </c>
    </row>
    <row r="668" spans="1:34" ht="150">
      <c r="A668" s="6" t="s">
        <v>185</v>
      </c>
      <c r="B668" s="7">
        <v>46063</v>
      </c>
      <c r="C668" s="9" t="str">
        <f>HYPERLINK("https://eping.wto.org/en/Search?viewData= G/TBT/N/CHN/2200"," G/TBT/N/CHN/2200")</f>
        <v xml:space="preserve"> G/TBT/N/CHN/2200</v>
      </c>
      <c r="D668" s="8" t="s">
        <v>2975</v>
      </c>
      <c r="E668" s="8" t="s">
        <v>2976</v>
      </c>
      <c r="F668" s="8" t="s">
        <v>2939</v>
      </c>
      <c r="G668" s="8" t="s">
        <v>2940</v>
      </c>
      <c r="H668" s="8" t="s">
        <v>2941</v>
      </c>
      <c r="I668" s="8" t="s">
        <v>1101</v>
      </c>
      <c r="J668" s="8" t="s">
        <v>43</v>
      </c>
      <c r="K668" s="8" t="s">
        <v>43</v>
      </c>
      <c r="L668" s="6"/>
      <c r="M668" s="7">
        <v>46123</v>
      </c>
      <c r="N668" s="7" t="s">
        <v>79</v>
      </c>
      <c r="O668" s="7" t="s">
        <v>114</v>
      </c>
      <c r="P668" s="6" t="s">
        <v>62</v>
      </c>
      <c r="Q668" s="8" t="s">
        <v>2977</v>
      </c>
      <c r="R668" t="str">
        <f>HYPERLINK("https://docs.wto.org/imrd/directdoc.asp?DDFDocuments/t/G/TBTN26/CHN2200.docx", "https://docs.wto.org/imrd/directdoc.asp?DDFDocuments/t/G/TBTN26/CHN2200.docx")</f>
        <v>https://docs.wto.org/imrd/directdoc.asp?DDFDocuments/t/G/TBTN26/CHN2200.docx</v>
      </c>
      <c r="S668" t="str">
        <f>HYPERLINK("https://docs.wto.org/imrd/directdoc.asp?DDFDocuments/u/G/TBTN26/CHN2200.docx", "https://docs.wto.org/imrd/directdoc.asp?DDFDocuments/u/G/TBTN26/CHN2200.docx")</f>
        <v>https://docs.wto.org/imrd/directdoc.asp?DDFDocuments/u/G/TBTN26/CHN2200.docx</v>
      </c>
      <c r="T668" t="str">
        <f>HYPERLINK("https://docs.wto.org/imrd/directdoc.asp?DDFDocuments/v/G/TBTN26/CHN2200.docx", "https://docs.wto.org/imrd/directdoc.asp?DDFDocuments/v/G/TBTN26/CHN2200.docx")</f>
        <v>https://docs.wto.org/imrd/directdoc.asp?DDFDocuments/v/G/TBTN26/CHN2200.docx</v>
      </c>
      <c r="U668" t="s">
        <v>64</v>
      </c>
      <c r="V668" t="s">
        <v>46</v>
      </c>
      <c r="W668" t="s">
        <v>46</v>
      </c>
      <c r="X668" t="s">
        <v>46</v>
      </c>
      <c r="Y668" t="s">
        <v>46</v>
      </c>
      <c r="Z668" t="s">
        <v>46</v>
      </c>
      <c r="AA668" t="s">
        <v>46</v>
      </c>
      <c r="AB668" s="2" t="s">
        <v>43</v>
      </c>
      <c r="AC668" t="s">
        <v>43</v>
      </c>
      <c r="AD668" t="s">
        <v>43</v>
      </c>
      <c r="AE668" t="s">
        <v>43</v>
      </c>
      <c r="AF668" t="s">
        <v>43</v>
      </c>
      <c r="AG668" t="s">
        <v>43</v>
      </c>
      <c r="AH668" s="2" t="s">
        <v>43</v>
      </c>
    </row>
    <row r="669" spans="1:34" ht="150">
      <c r="A669" s="6" t="s">
        <v>185</v>
      </c>
      <c r="B669" s="7">
        <v>46063</v>
      </c>
      <c r="C669" s="9" t="str">
        <f>HYPERLINK("https://eping.wto.org/en/Search?viewData= G/TBT/N/CHN/2201"," G/TBT/N/CHN/2201")</f>
        <v xml:space="preserve"> G/TBT/N/CHN/2201</v>
      </c>
      <c r="D669" s="8" t="s">
        <v>2978</v>
      </c>
      <c r="E669" s="8" t="s">
        <v>2979</v>
      </c>
      <c r="F669" s="8" t="s">
        <v>2939</v>
      </c>
      <c r="G669" s="8" t="s">
        <v>2940</v>
      </c>
      <c r="H669" s="8" t="s">
        <v>2941</v>
      </c>
      <c r="I669" s="8" t="s">
        <v>1101</v>
      </c>
      <c r="J669" s="8" t="s">
        <v>43</v>
      </c>
      <c r="K669" s="8" t="s">
        <v>43</v>
      </c>
      <c r="L669" s="6"/>
      <c r="M669" s="7">
        <v>46123</v>
      </c>
      <c r="N669" s="7" t="s">
        <v>79</v>
      </c>
      <c r="O669" s="7" t="s">
        <v>114</v>
      </c>
      <c r="P669" s="6" t="s">
        <v>62</v>
      </c>
      <c r="Q669" s="8" t="s">
        <v>2980</v>
      </c>
      <c r="R669" t="str">
        <f>HYPERLINK("https://docs.wto.org/imrd/directdoc.asp?DDFDocuments/t/G/TBTN26/CHN2201.docx", "https://docs.wto.org/imrd/directdoc.asp?DDFDocuments/t/G/TBTN26/CHN2201.docx")</f>
        <v>https://docs.wto.org/imrd/directdoc.asp?DDFDocuments/t/G/TBTN26/CHN2201.docx</v>
      </c>
      <c r="S669" t="str">
        <f>HYPERLINK("https://docs.wto.org/imrd/directdoc.asp?DDFDocuments/u/G/TBTN26/CHN2201.docx", "https://docs.wto.org/imrd/directdoc.asp?DDFDocuments/u/G/TBTN26/CHN2201.docx")</f>
        <v>https://docs.wto.org/imrd/directdoc.asp?DDFDocuments/u/G/TBTN26/CHN2201.docx</v>
      </c>
      <c r="T669" t="str">
        <f>HYPERLINK("https://docs.wto.org/imrd/directdoc.asp?DDFDocuments/v/G/TBTN26/CHN2201.docx", "https://docs.wto.org/imrd/directdoc.asp?DDFDocuments/v/G/TBTN26/CHN2201.docx")</f>
        <v>https://docs.wto.org/imrd/directdoc.asp?DDFDocuments/v/G/TBTN26/CHN2201.docx</v>
      </c>
      <c r="U669" t="s">
        <v>64</v>
      </c>
      <c r="V669" t="s">
        <v>46</v>
      </c>
      <c r="W669" t="s">
        <v>46</v>
      </c>
      <c r="X669" t="s">
        <v>46</v>
      </c>
      <c r="Y669" t="s">
        <v>46</v>
      </c>
      <c r="Z669" t="s">
        <v>46</v>
      </c>
      <c r="AA669" t="s">
        <v>46</v>
      </c>
      <c r="AB669" s="2" t="s">
        <v>43</v>
      </c>
      <c r="AC669" t="s">
        <v>43</v>
      </c>
      <c r="AD669" t="s">
        <v>43</v>
      </c>
      <c r="AE669" t="s">
        <v>43</v>
      </c>
      <c r="AF669" t="s">
        <v>43</v>
      </c>
      <c r="AG669" t="s">
        <v>43</v>
      </c>
      <c r="AH669" s="2" t="s">
        <v>43</v>
      </c>
    </row>
    <row r="670" spans="1:34" ht="45">
      <c r="A670" s="6" t="s">
        <v>325</v>
      </c>
      <c r="B670" s="7">
        <v>46063</v>
      </c>
      <c r="C670" s="9" t="str">
        <f>HYPERLINK("https://eping.wto.org/en/Search?viewData= G/SPS/N/TPKM/657/Add.1"," G/SPS/N/TPKM/657/Add.1")</f>
        <v xml:space="preserve"> G/SPS/N/TPKM/657/Add.1</v>
      </c>
      <c r="D670" s="8" t="s">
        <v>2981</v>
      </c>
      <c r="E670" s="8" t="s">
        <v>2982</v>
      </c>
      <c r="F670" s="8" t="s">
        <v>2983</v>
      </c>
      <c r="G670" s="8" t="s">
        <v>43</v>
      </c>
      <c r="H670" s="8" t="s">
        <v>43</v>
      </c>
      <c r="I670" s="8" t="s">
        <v>94</v>
      </c>
      <c r="J670" s="8" t="s">
        <v>43</v>
      </c>
      <c r="K670" s="8" t="s">
        <v>2984</v>
      </c>
      <c r="L670" s="6"/>
      <c r="M670" s="7" t="s">
        <v>43</v>
      </c>
      <c r="N670" s="7"/>
      <c r="O670" s="7"/>
      <c r="P670" s="6" t="s">
        <v>44</v>
      </c>
      <c r="Q670" s="6"/>
      <c r="R670" t="str">
        <f>HYPERLINK("https://docs.wto.org/imrd/directdoc.asp?DDFDocuments/t/G/SPS/NTPKM657A1.docx", "https://docs.wto.org/imrd/directdoc.asp?DDFDocuments/t/G/SPS/NTPKM657A1.docx")</f>
        <v>https://docs.wto.org/imrd/directdoc.asp?DDFDocuments/t/G/SPS/NTPKM657A1.docx</v>
      </c>
      <c r="S670" t="str">
        <f>HYPERLINK("https://docs.wto.org/imrd/directdoc.asp?DDFDocuments/u/G/SPS/NTPKM657A1.docx", "https://docs.wto.org/imrd/directdoc.asp?DDFDocuments/u/G/SPS/NTPKM657A1.docx")</f>
        <v>https://docs.wto.org/imrd/directdoc.asp?DDFDocuments/u/G/SPS/NTPKM657A1.docx</v>
      </c>
      <c r="T670" t="str">
        <f>HYPERLINK("https://docs.wto.org/imrd/directdoc.asp?DDFDocuments/v/G/SPS/NTPKM657A1.docx", "https://docs.wto.org/imrd/directdoc.asp?DDFDocuments/v/G/SPS/NTPKM657A1.docx")</f>
        <v>https://docs.wto.org/imrd/directdoc.asp?DDFDocuments/v/G/SPS/NTPKM657A1.docx</v>
      </c>
      <c r="U670" t="s">
        <v>43</v>
      </c>
      <c r="V670" t="s">
        <v>43</v>
      </c>
      <c r="W670" t="s">
        <v>43</v>
      </c>
      <c r="X670" t="s">
        <v>43</v>
      </c>
      <c r="Y670" t="s">
        <v>43</v>
      </c>
      <c r="Z670" t="s">
        <v>43</v>
      </c>
      <c r="AA670" t="s">
        <v>43</v>
      </c>
      <c r="AB670" s="2" t="s">
        <v>43</v>
      </c>
      <c r="AC670" t="s">
        <v>43</v>
      </c>
      <c r="AD670" t="s">
        <v>43</v>
      </c>
      <c r="AE670" t="s">
        <v>43</v>
      </c>
      <c r="AF670" t="s">
        <v>43</v>
      </c>
      <c r="AG670" t="s">
        <v>43</v>
      </c>
      <c r="AH670" s="2" t="s">
        <v>43</v>
      </c>
    </row>
    <row r="671" spans="1:34" ht="165">
      <c r="A671" s="6" t="s">
        <v>132</v>
      </c>
      <c r="B671" s="7">
        <v>46063</v>
      </c>
      <c r="C671" s="9" t="str">
        <f>HYPERLINK("https://eping.wto.org/en/Search?viewData= G/TBT/N/USA/2259"," G/TBT/N/USA/2259")</f>
        <v xml:space="preserve"> G/TBT/N/USA/2259</v>
      </c>
      <c r="D671" s="8" t="s">
        <v>2985</v>
      </c>
      <c r="E671" s="8" t="s">
        <v>2986</v>
      </c>
      <c r="F671" s="8" t="s">
        <v>2987</v>
      </c>
      <c r="G671" s="8" t="s">
        <v>43</v>
      </c>
      <c r="H671" s="8" t="s">
        <v>2988</v>
      </c>
      <c r="I671" s="8" t="s">
        <v>191</v>
      </c>
      <c r="J671" s="8" t="s">
        <v>43</v>
      </c>
      <c r="K671" s="8" t="s">
        <v>43</v>
      </c>
      <c r="L671" s="6"/>
      <c r="M671" s="7" t="s">
        <v>43</v>
      </c>
      <c r="N671" s="7" t="s">
        <v>99</v>
      </c>
      <c r="O671" s="7" t="s">
        <v>99</v>
      </c>
      <c r="P671" s="6" t="s">
        <v>62</v>
      </c>
      <c r="Q671" s="8" t="s">
        <v>2989</v>
      </c>
      <c r="R671" t="str">
        <f>HYPERLINK("https://docs.wto.org/imrd/directdoc.asp?DDFDocuments/t/G/TBTN26/USA2259.docx", "https://docs.wto.org/imrd/directdoc.asp?DDFDocuments/t/G/TBTN26/USA2259.docx")</f>
        <v>https://docs.wto.org/imrd/directdoc.asp?DDFDocuments/t/G/TBTN26/USA2259.docx</v>
      </c>
      <c r="S671" t="str">
        <f>HYPERLINK("https://docs.wto.org/imrd/directdoc.asp?DDFDocuments/u/G/TBTN26/USA2259.docx", "https://docs.wto.org/imrd/directdoc.asp?DDFDocuments/u/G/TBTN26/USA2259.docx")</f>
        <v>https://docs.wto.org/imrd/directdoc.asp?DDFDocuments/u/G/TBTN26/USA2259.docx</v>
      </c>
      <c r="T671" t="str">
        <f>HYPERLINK("https://docs.wto.org/imrd/directdoc.asp?DDFDocuments/v/G/TBTN26/USA2259.docx", "https://docs.wto.org/imrd/directdoc.asp?DDFDocuments/v/G/TBTN26/USA2259.docx")</f>
        <v>https://docs.wto.org/imrd/directdoc.asp?DDFDocuments/v/G/TBTN26/USA2259.docx</v>
      </c>
      <c r="U671" t="s">
        <v>46</v>
      </c>
      <c r="V671" t="s">
        <v>46</v>
      </c>
      <c r="W671" t="s">
        <v>46</v>
      </c>
      <c r="X671" t="s">
        <v>46</v>
      </c>
      <c r="Y671" t="s">
        <v>46</v>
      </c>
      <c r="Z671" t="s">
        <v>46</v>
      </c>
      <c r="AA671" t="s">
        <v>64</v>
      </c>
      <c r="AB671" s="2" t="s">
        <v>2990</v>
      </c>
      <c r="AC671" t="s">
        <v>43</v>
      </c>
      <c r="AD671" t="s">
        <v>43</v>
      </c>
      <c r="AE671" t="s">
        <v>43</v>
      </c>
      <c r="AF671" t="s">
        <v>43</v>
      </c>
      <c r="AG671" t="s">
        <v>43</v>
      </c>
      <c r="AH671" s="2" t="s">
        <v>43</v>
      </c>
    </row>
    <row r="672" spans="1:34" ht="90">
      <c r="A672" s="6" t="s">
        <v>2991</v>
      </c>
      <c r="B672" s="7">
        <v>46063</v>
      </c>
      <c r="C672" s="9" t="str">
        <f>HYPERLINK("https://eping.wto.org/en/Search?viewData= G/SPS/N/HND/24/Add.2"," G/SPS/N/HND/24/Add.2")</f>
        <v xml:space="preserve"> G/SPS/N/HND/24/Add.2</v>
      </c>
      <c r="D672" s="8" t="s">
        <v>2992</v>
      </c>
      <c r="E672" s="8" t="s">
        <v>2992</v>
      </c>
      <c r="F672" s="8" t="s">
        <v>2993</v>
      </c>
      <c r="G672" s="8" t="s">
        <v>2994</v>
      </c>
      <c r="H672" s="8" t="s">
        <v>43</v>
      </c>
      <c r="I672" s="8" t="s">
        <v>94</v>
      </c>
      <c r="J672" s="8"/>
      <c r="K672" s="8" t="s">
        <v>2995</v>
      </c>
      <c r="L672" s="6"/>
      <c r="M672" s="7">
        <v>46093</v>
      </c>
      <c r="N672" s="7"/>
      <c r="O672" s="7"/>
      <c r="P672" s="6" t="s">
        <v>44</v>
      </c>
      <c r="Q672" s="8" t="s">
        <v>2996</v>
      </c>
      <c r="R672" t="str">
        <f>HYPERLINK("https://docs.wto.org/imrd/directdoc.asp?DDFDocuments/t/G/SPS/NHND24A2.docx", "https://docs.wto.org/imrd/directdoc.asp?DDFDocuments/t/G/SPS/NHND24A2.docx")</f>
        <v>https://docs.wto.org/imrd/directdoc.asp?DDFDocuments/t/G/SPS/NHND24A2.docx</v>
      </c>
      <c r="S672" t="str">
        <f>HYPERLINK("https://docs.wto.org/imrd/directdoc.asp?DDFDocuments/u/G/SPS/NHND24A2.docx", "https://docs.wto.org/imrd/directdoc.asp?DDFDocuments/u/G/SPS/NHND24A2.docx")</f>
        <v>https://docs.wto.org/imrd/directdoc.asp?DDFDocuments/u/G/SPS/NHND24A2.docx</v>
      </c>
      <c r="T672" t="str">
        <f>HYPERLINK("https://docs.wto.org/imrd/directdoc.asp?DDFDocuments/v/G/SPS/NHND24A2.docx", "https://docs.wto.org/imrd/directdoc.asp?DDFDocuments/v/G/SPS/NHND24A2.docx")</f>
        <v>https://docs.wto.org/imrd/directdoc.asp?DDFDocuments/v/G/SPS/NHND24A2.docx</v>
      </c>
      <c r="U672" t="s">
        <v>43</v>
      </c>
      <c r="V672" t="s">
        <v>43</v>
      </c>
      <c r="W672" t="s">
        <v>43</v>
      </c>
      <c r="X672" t="s">
        <v>43</v>
      </c>
      <c r="Y672" t="s">
        <v>43</v>
      </c>
      <c r="Z672" t="s">
        <v>43</v>
      </c>
      <c r="AA672" t="s">
        <v>43</v>
      </c>
      <c r="AB672" s="2" t="s">
        <v>43</v>
      </c>
      <c r="AC672" t="s">
        <v>43</v>
      </c>
      <c r="AD672" t="s">
        <v>43</v>
      </c>
      <c r="AE672" t="s">
        <v>43</v>
      </c>
      <c r="AF672" t="s">
        <v>43</v>
      </c>
      <c r="AG672" t="s">
        <v>43</v>
      </c>
      <c r="AH672" s="2" t="s">
        <v>43</v>
      </c>
    </row>
    <row r="673" spans="1:34" ht="120">
      <c r="A673" s="6" t="s">
        <v>356</v>
      </c>
      <c r="B673" s="7">
        <v>46063</v>
      </c>
      <c r="C673" s="9" t="str">
        <f>HYPERLINK("https://eping.wto.org/en/Search?viewData= G/SPS/N/EU/917"," G/SPS/N/EU/917")</f>
        <v xml:space="preserve"> G/SPS/N/EU/917</v>
      </c>
      <c r="D673" s="8" t="s">
        <v>2997</v>
      </c>
      <c r="E673" s="8" t="s">
        <v>2998</v>
      </c>
      <c r="F673" s="8" t="s">
        <v>2999</v>
      </c>
      <c r="G673" s="8" t="s">
        <v>3000</v>
      </c>
      <c r="H673" s="8" t="s">
        <v>43</v>
      </c>
      <c r="I673" s="8" t="s">
        <v>254</v>
      </c>
      <c r="J673" s="8" t="s">
        <v>43</v>
      </c>
      <c r="K673" s="8" t="s">
        <v>255</v>
      </c>
      <c r="L673" s="6"/>
      <c r="M673" s="7">
        <v>46123</v>
      </c>
      <c r="N673" s="7" t="s">
        <v>485</v>
      </c>
      <c r="O673" s="7" t="s">
        <v>3001</v>
      </c>
      <c r="P673" s="6" t="s">
        <v>62</v>
      </c>
      <c r="Q673" s="8" t="s">
        <v>3002</v>
      </c>
      <c r="R673" t="str">
        <f>HYPERLINK("https://docs.wto.org/imrd/directdoc.asp?DDFDocuments/t/G/SPS/NEU917.docx", "https://docs.wto.org/imrd/directdoc.asp?DDFDocuments/t/G/SPS/NEU917.docx")</f>
        <v>https://docs.wto.org/imrd/directdoc.asp?DDFDocuments/t/G/SPS/NEU917.docx</v>
      </c>
      <c r="S673" t="str">
        <f>HYPERLINK("https://docs.wto.org/imrd/directdoc.asp?DDFDocuments/u/G/SPS/NEU917.docx", "https://docs.wto.org/imrd/directdoc.asp?DDFDocuments/u/G/SPS/NEU917.docx")</f>
        <v>https://docs.wto.org/imrd/directdoc.asp?DDFDocuments/u/G/SPS/NEU917.docx</v>
      </c>
      <c r="T673" t="str">
        <f>HYPERLINK("https://docs.wto.org/imrd/directdoc.asp?DDFDocuments/v/G/SPS/NEU917.docx", "https://docs.wto.org/imrd/directdoc.asp?DDFDocuments/v/G/SPS/NEU917.docx")</f>
        <v>https://docs.wto.org/imrd/directdoc.asp?DDFDocuments/v/G/SPS/NEU917.docx</v>
      </c>
      <c r="U673" t="s">
        <v>43</v>
      </c>
      <c r="V673" t="s">
        <v>43</v>
      </c>
      <c r="W673" t="s">
        <v>43</v>
      </c>
      <c r="X673" t="s">
        <v>43</v>
      </c>
      <c r="Y673" t="s">
        <v>43</v>
      </c>
      <c r="Z673" t="s">
        <v>43</v>
      </c>
      <c r="AA673" t="s">
        <v>43</v>
      </c>
      <c r="AB673" s="2" t="s">
        <v>43</v>
      </c>
      <c r="AC673" t="s">
        <v>46</v>
      </c>
      <c r="AD673" t="s">
        <v>46</v>
      </c>
      <c r="AE673" t="s">
        <v>64</v>
      </c>
      <c r="AF673" t="s">
        <v>46</v>
      </c>
      <c r="AG673" t="s">
        <v>64</v>
      </c>
      <c r="AH673" s="2" t="s">
        <v>43</v>
      </c>
    </row>
    <row r="674" spans="1:34" ht="165">
      <c r="A674" s="6" t="s">
        <v>47</v>
      </c>
      <c r="B674" s="7">
        <v>46063</v>
      </c>
      <c r="C674" s="9" t="str">
        <f>HYPERLINK("https://eping.wto.org/en/Search?viewData= G/SPS/N/CAN/1633"," G/SPS/N/CAN/1633")</f>
        <v xml:space="preserve"> G/SPS/N/CAN/1633</v>
      </c>
      <c r="D674" s="8" t="s">
        <v>3003</v>
      </c>
      <c r="E674" s="8" t="s">
        <v>3004</v>
      </c>
      <c r="F674" s="8" t="s">
        <v>3005</v>
      </c>
      <c r="G674" s="8" t="s">
        <v>43</v>
      </c>
      <c r="H674" s="8" t="s">
        <v>1041</v>
      </c>
      <c r="I674" s="8" t="s">
        <v>58</v>
      </c>
      <c r="J674" s="8" t="s">
        <v>43</v>
      </c>
      <c r="K674" s="8" t="s">
        <v>310</v>
      </c>
      <c r="L674" s="6" t="s">
        <v>43</v>
      </c>
      <c r="M674" s="7">
        <v>46132</v>
      </c>
      <c r="N674" s="7" t="s">
        <v>3006</v>
      </c>
      <c r="O674" s="7" t="s">
        <v>3007</v>
      </c>
      <c r="P674" s="6" t="s">
        <v>62</v>
      </c>
      <c r="Q674" s="6"/>
      <c r="R674" t="str">
        <f>HYPERLINK("https://docs.wto.org/imrd/directdoc.asp?DDFDocuments/t/G/SPS/NCAN1633.docx", "https://docs.wto.org/imrd/directdoc.asp?DDFDocuments/t/G/SPS/NCAN1633.docx")</f>
        <v>https://docs.wto.org/imrd/directdoc.asp?DDFDocuments/t/G/SPS/NCAN1633.docx</v>
      </c>
      <c r="S674" t="str">
        <f>HYPERLINK("https://docs.wto.org/imrd/directdoc.asp?DDFDocuments/u/G/SPS/NCAN1633.docx", "https://docs.wto.org/imrd/directdoc.asp?DDFDocuments/u/G/SPS/NCAN1633.docx")</f>
        <v>https://docs.wto.org/imrd/directdoc.asp?DDFDocuments/u/G/SPS/NCAN1633.docx</v>
      </c>
      <c r="T674" t="str">
        <f>HYPERLINK("https://docs.wto.org/imrd/directdoc.asp?DDFDocuments/v/G/SPS/NCAN1633.docx", "https://docs.wto.org/imrd/directdoc.asp?DDFDocuments/v/G/SPS/NCAN1633.docx")</f>
        <v>https://docs.wto.org/imrd/directdoc.asp?DDFDocuments/v/G/SPS/NCAN1633.docx</v>
      </c>
      <c r="U674" t="s">
        <v>43</v>
      </c>
      <c r="V674" t="s">
        <v>43</v>
      </c>
      <c r="W674" t="s">
        <v>43</v>
      </c>
      <c r="X674" t="s">
        <v>43</v>
      </c>
      <c r="Y674" t="s">
        <v>43</v>
      </c>
      <c r="Z674" t="s">
        <v>43</v>
      </c>
      <c r="AA674" t="s">
        <v>43</v>
      </c>
      <c r="AB674" s="2" t="s">
        <v>43</v>
      </c>
      <c r="AC674" t="s">
        <v>46</v>
      </c>
      <c r="AD674" t="s">
        <v>46</v>
      </c>
      <c r="AE674" t="s">
        <v>46</v>
      </c>
      <c r="AF674" t="s">
        <v>64</v>
      </c>
      <c r="AG674" t="s">
        <v>99</v>
      </c>
      <c r="AH674" s="2" t="s">
        <v>43</v>
      </c>
    </row>
    <row r="675" spans="1:34" ht="60">
      <c r="A675" s="6" t="s">
        <v>756</v>
      </c>
      <c r="B675" s="7">
        <v>46063</v>
      </c>
      <c r="C675" s="9" t="str">
        <f>HYPERLINK("https://eping.wto.org/en/Search?viewData= G/SPS/N/PER/1108"," G/SPS/N/PER/1108")</f>
        <v xml:space="preserve"> G/SPS/N/PER/1108</v>
      </c>
      <c r="D675" s="8" t="s">
        <v>3008</v>
      </c>
      <c r="E675" s="8" t="s">
        <v>3009</v>
      </c>
      <c r="F675" s="8" t="s">
        <v>3010</v>
      </c>
      <c r="G675" s="8" t="s">
        <v>3011</v>
      </c>
      <c r="H675" s="8" t="s">
        <v>43</v>
      </c>
      <c r="I675" s="8" t="s">
        <v>254</v>
      </c>
      <c r="J675" s="8" t="s">
        <v>43</v>
      </c>
      <c r="K675" s="8" t="s">
        <v>255</v>
      </c>
      <c r="L675" s="6" t="s">
        <v>146</v>
      </c>
      <c r="M675" s="7">
        <v>46123</v>
      </c>
      <c r="N675" s="7" t="s">
        <v>79</v>
      </c>
      <c r="O675" s="7" t="s">
        <v>761</v>
      </c>
      <c r="P675" s="6" t="s">
        <v>62</v>
      </c>
      <c r="Q675" s="8" t="s">
        <v>3012</v>
      </c>
      <c r="R675" t="str">
        <f>HYPERLINK("https://docs.wto.org/imrd/directdoc.asp?DDFDocuments/t/G/SPS/NPER1108.docx", "https://docs.wto.org/imrd/directdoc.asp?DDFDocuments/t/G/SPS/NPER1108.docx")</f>
        <v>https://docs.wto.org/imrd/directdoc.asp?DDFDocuments/t/G/SPS/NPER1108.docx</v>
      </c>
      <c r="S675" t="str">
        <f>HYPERLINK("https://docs.wto.org/imrd/directdoc.asp?DDFDocuments/u/G/SPS/NPER1108.docx", "https://docs.wto.org/imrd/directdoc.asp?DDFDocuments/u/G/SPS/NPER1108.docx")</f>
        <v>https://docs.wto.org/imrd/directdoc.asp?DDFDocuments/u/G/SPS/NPER1108.docx</v>
      </c>
      <c r="T675" t="str">
        <f>HYPERLINK("https://docs.wto.org/imrd/directdoc.asp?DDFDocuments/v/G/SPS/NPER1108.docx", "https://docs.wto.org/imrd/directdoc.asp?DDFDocuments/v/G/SPS/NPER1108.docx")</f>
        <v>https://docs.wto.org/imrd/directdoc.asp?DDFDocuments/v/G/SPS/NPER1108.docx</v>
      </c>
      <c r="U675" t="s">
        <v>43</v>
      </c>
      <c r="V675" t="s">
        <v>43</v>
      </c>
      <c r="W675" t="s">
        <v>43</v>
      </c>
      <c r="X675" t="s">
        <v>43</v>
      </c>
      <c r="Y675" t="s">
        <v>43</v>
      </c>
      <c r="Z675" t="s">
        <v>43</v>
      </c>
      <c r="AA675" t="s">
        <v>43</v>
      </c>
      <c r="AB675" s="2" t="s">
        <v>43</v>
      </c>
      <c r="AC675" t="s">
        <v>46</v>
      </c>
      <c r="AD675" t="s">
        <v>46</v>
      </c>
      <c r="AE675" t="s">
        <v>64</v>
      </c>
      <c r="AF675" t="s">
        <v>46</v>
      </c>
      <c r="AG675" t="s">
        <v>64</v>
      </c>
      <c r="AH675" s="2" t="s">
        <v>43</v>
      </c>
    </row>
    <row r="676" spans="1:34" ht="150">
      <c r="A676" s="6" t="s">
        <v>185</v>
      </c>
      <c r="B676" s="7">
        <v>46063</v>
      </c>
      <c r="C676" s="9" t="str">
        <f>HYPERLINK("https://eping.wto.org/en/Search?viewData= G/TBT/N/CHN/2202"," G/TBT/N/CHN/2202")</f>
        <v xml:space="preserve"> G/TBT/N/CHN/2202</v>
      </c>
      <c r="D676" s="8" t="s">
        <v>3013</v>
      </c>
      <c r="E676" s="8" t="s">
        <v>3014</v>
      </c>
      <c r="F676" s="8" t="s">
        <v>2939</v>
      </c>
      <c r="G676" s="8" t="s">
        <v>2940</v>
      </c>
      <c r="H676" s="8" t="s">
        <v>2941</v>
      </c>
      <c r="I676" s="8" t="s">
        <v>295</v>
      </c>
      <c r="J676" s="8" t="s">
        <v>43</v>
      </c>
      <c r="K676" s="8" t="s">
        <v>43</v>
      </c>
      <c r="L676" s="6"/>
      <c r="M676" s="7">
        <v>46123</v>
      </c>
      <c r="N676" s="7" t="s">
        <v>79</v>
      </c>
      <c r="O676" s="7" t="s">
        <v>114</v>
      </c>
      <c r="P676" s="6" t="s">
        <v>62</v>
      </c>
      <c r="Q676" s="8" t="s">
        <v>3015</v>
      </c>
      <c r="R676" t="str">
        <f>HYPERLINK("https://docs.wto.org/imrd/directdoc.asp?DDFDocuments/t/G/TBTN26/CHN2202.docx", "https://docs.wto.org/imrd/directdoc.asp?DDFDocuments/t/G/TBTN26/CHN2202.docx")</f>
        <v>https://docs.wto.org/imrd/directdoc.asp?DDFDocuments/t/G/TBTN26/CHN2202.docx</v>
      </c>
      <c r="S676" t="str">
        <f>HYPERLINK("https://docs.wto.org/imrd/directdoc.asp?DDFDocuments/u/G/TBTN26/CHN2202.docx", "https://docs.wto.org/imrd/directdoc.asp?DDFDocuments/u/G/TBTN26/CHN2202.docx")</f>
        <v>https://docs.wto.org/imrd/directdoc.asp?DDFDocuments/u/G/TBTN26/CHN2202.docx</v>
      </c>
      <c r="T676" t="str">
        <f>HYPERLINK("https://docs.wto.org/imrd/directdoc.asp?DDFDocuments/v/G/TBTN26/CHN2202.docx", "https://docs.wto.org/imrd/directdoc.asp?DDFDocuments/v/G/TBTN26/CHN2202.docx")</f>
        <v>https://docs.wto.org/imrd/directdoc.asp?DDFDocuments/v/G/TBTN26/CHN2202.docx</v>
      </c>
      <c r="U676" t="s">
        <v>64</v>
      </c>
      <c r="V676" t="s">
        <v>46</v>
      </c>
      <c r="W676" t="s">
        <v>46</v>
      </c>
      <c r="X676" t="s">
        <v>46</v>
      </c>
      <c r="Y676" t="s">
        <v>46</v>
      </c>
      <c r="Z676" t="s">
        <v>46</v>
      </c>
      <c r="AA676" t="s">
        <v>46</v>
      </c>
      <c r="AB676" s="2" t="s">
        <v>43</v>
      </c>
      <c r="AC676" t="s">
        <v>43</v>
      </c>
      <c r="AD676" t="s">
        <v>43</v>
      </c>
      <c r="AE676" t="s">
        <v>43</v>
      </c>
      <c r="AF676" t="s">
        <v>43</v>
      </c>
      <c r="AG676" t="s">
        <v>43</v>
      </c>
      <c r="AH676" s="2" t="s">
        <v>43</v>
      </c>
    </row>
    <row r="677" spans="1:34" ht="30">
      <c r="A677" s="6" t="s">
        <v>289</v>
      </c>
      <c r="B677" s="7">
        <v>46062</v>
      </c>
      <c r="C677" s="9" t="str">
        <f>HYPERLINK("https://eping.wto.org/en/Search?viewData= G/TBT/N/BRA/312/Add.14/Corr.1"," G/TBT/N/BRA/312/Add.14/Corr.1")</f>
        <v xml:space="preserve"> G/TBT/N/BRA/312/Add.14/Corr.1</v>
      </c>
      <c r="D677" s="8" t="s">
        <v>3016</v>
      </c>
      <c r="E677" s="8" t="s">
        <v>3017</v>
      </c>
      <c r="F677" s="8" t="s">
        <v>3018</v>
      </c>
      <c r="G677" s="8" t="s">
        <v>3019</v>
      </c>
      <c r="H677" s="8" t="s">
        <v>3020</v>
      </c>
      <c r="I677" s="8" t="s">
        <v>275</v>
      </c>
      <c r="J677" s="8" t="s">
        <v>3021</v>
      </c>
      <c r="K677" s="8" t="s">
        <v>43</v>
      </c>
      <c r="L677" s="6"/>
      <c r="M677" s="7" t="s">
        <v>43</v>
      </c>
      <c r="N677" s="7"/>
      <c r="O677" s="7"/>
      <c r="P677" s="6" t="s">
        <v>296</v>
      </c>
      <c r="Q677" s="8" t="s">
        <v>3022</v>
      </c>
      <c r="R677" t="str">
        <f>HYPERLINK("https://docs.wto.org/imrd/directdoc.asp?DDFDocuments/t/G/TBTN08/BRA312A14C1.docx", "https://docs.wto.org/imrd/directdoc.asp?DDFDocuments/t/G/TBTN08/BRA312A14C1.docx")</f>
        <v>https://docs.wto.org/imrd/directdoc.asp?DDFDocuments/t/G/TBTN08/BRA312A14C1.docx</v>
      </c>
      <c r="S677" t="str">
        <f>HYPERLINK("https://docs.wto.org/imrd/directdoc.asp?DDFDocuments/u/G/TBTN08/BRA312A14C1.docx", "https://docs.wto.org/imrd/directdoc.asp?DDFDocuments/u/G/TBTN08/BRA312A14C1.docx")</f>
        <v>https://docs.wto.org/imrd/directdoc.asp?DDFDocuments/u/G/TBTN08/BRA312A14C1.docx</v>
      </c>
      <c r="T677" t="str">
        <f>HYPERLINK("https://docs.wto.org/imrd/directdoc.asp?DDFDocuments/v/G/TBTN08/BRA312A14C1.docx", "https://docs.wto.org/imrd/directdoc.asp?DDFDocuments/v/G/TBTN08/BRA312A14C1.docx")</f>
        <v>https://docs.wto.org/imrd/directdoc.asp?DDFDocuments/v/G/TBTN08/BRA312A14C1.docx</v>
      </c>
      <c r="U677" t="s">
        <v>46</v>
      </c>
      <c r="V677" t="s">
        <v>46</v>
      </c>
      <c r="W677" t="s">
        <v>64</v>
      </c>
      <c r="X677" t="s">
        <v>46</v>
      </c>
      <c r="Y677" t="s">
        <v>46</v>
      </c>
      <c r="Z677" t="s">
        <v>46</v>
      </c>
      <c r="AA677" t="s">
        <v>46</v>
      </c>
      <c r="AB677" s="2" t="s">
        <v>43</v>
      </c>
      <c r="AC677" t="s">
        <v>43</v>
      </c>
      <c r="AD677" t="s">
        <v>43</v>
      </c>
      <c r="AE677" t="s">
        <v>43</v>
      </c>
      <c r="AF677" t="s">
        <v>43</v>
      </c>
      <c r="AG677" t="s">
        <v>43</v>
      </c>
      <c r="AH677" s="2" t="s">
        <v>43</v>
      </c>
    </row>
    <row r="678" spans="1:34" ht="150">
      <c r="A678" s="6" t="s">
        <v>185</v>
      </c>
      <c r="B678" s="7">
        <v>46062</v>
      </c>
      <c r="C678" s="9" t="str">
        <f>HYPERLINK("https://eping.wto.org/en/Search?viewData= G/TBT/N/CHN/2198"," G/TBT/N/CHN/2198")</f>
        <v xml:space="preserve"> G/TBT/N/CHN/2198</v>
      </c>
      <c r="D678" s="8" t="s">
        <v>3023</v>
      </c>
      <c r="E678" s="8" t="s">
        <v>3024</v>
      </c>
      <c r="F678" s="8" t="s">
        <v>2939</v>
      </c>
      <c r="G678" s="8" t="s">
        <v>2940</v>
      </c>
      <c r="H678" s="8" t="s">
        <v>2941</v>
      </c>
      <c r="I678" s="8" t="s">
        <v>1101</v>
      </c>
      <c r="J678" s="8" t="s">
        <v>43</v>
      </c>
      <c r="K678" s="8" t="s">
        <v>43</v>
      </c>
      <c r="L678" s="6"/>
      <c r="M678" s="7">
        <v>46122</v>
      </c>
      <c r="N678" s="7" t="s">
        <v>79</v>
      </c>
      <c r="O678" s="7" t="s">
        <v>114</v>
      </c>
      <c r="P678" s="6" t="s">
        <v>62</v>
      </c>
      <c r="Q678" s="8" t="s">
        <v>3025</v>
      </c>
      <c r="R678" t="str">
        <f>HYPERLINK("https://docs.wto.org/imrd/directdoc.asp?DDFDocuments/t/G/TBTN26/CHN2198.docx", "https://docs.wto.org/imrd/directdoc.asp?DDFDocuments/t/G/TBTN26/CHN2198.docx")</f>
        <v>https://docs.wto.org/imrd/directdoc.asp?DDFDocuments/t/G/TBTN26/CHN2198.docx</v>
      </c>
      <c r="S678" t="str">
        <f>HYPERLINK("https://docs.wto.org/imrd/directdoc.asp?DDFDocuments/u/G/TBTN26/CHN2198.docx", "https://docs.wto.org/imrd/directdoc.asp?DDFDocuments/u/G/TBTN26/CHN2198.docx")</f>
        <v>https://docs.wto.org/imrd/directdoc.asp?DDFDocuments/u/G/TBTN26/CHN2198.docx</v>
      </c>
      <c r="T678" t="str">
        <f>HYPERLINK("https://docs.wto.org/imrd/directdoc.asp?DDFDocuments/v/G/TBTN26/CHN2198.docx", "https://docs.wto.org/imrd/directdoc.asp?DDFDocuments/v/G/TBTN26/CHN2198.docx")</f>
        <v>https://docs.wto.org/imrd/directdoc.asp?DDFDocuments/v/G/TBTN26/CHN2198.docx</v>
      </c>
      <c r="U678" t="s">
        <v>64</v>
      </c>
      <c r="V678" t="s">
        <v>46</v>
      </c>
      <c r="W678" t="s">
        <v>46</v>
      </c>
      <c r="X678" t="s">
        <v>46</v>
      </c>
      <c r="Y678" t="s">
        <v>46</v>
      </c>
      <c r="Z678" t="s">
        <v>46</v>
      </c>
      <c r="AA678" t="s">
        <v>46</v>
      </c>
      <c r="AB678" s="2" t="s">
        <v>43</v>
      </c>
      <c r="AC678" t="s">
        <v>43</v>
      </c>
      <c r="AD678" t="s">
        <v>43</v>
      </c>
      <c r="AE678" t="s">
        <v>43</v>
      </c>
      <c r="AF678" t="s">
        <v>43</v>
      </c>
      <c r="AG678" t="s">
        <v>43</v>
      </c>
      <c r="AH678" s="2" t="s">
        <v>43</v>
      </c>
    </row>
    <row r="679" spans="1:34" ht="135">
      <c r="A679" s="6" t="s">
        <v>132</v>
      </c>
      <c r="B679" s="7">
        <v>46062</v>
      </c>
      <c r="C679" s="9" t="str">
        <f>HYPERLINK("https://eping.wto.org/en/Search?viewData= G/SPS/N/USA/3447/Add.1"," G/SPS/N/USA/3447/Add.1")</f>
        <v xml:space="preserve"> G/SPS/N/USA/3447/Add.1</v>
      </c>
      <c r="D679" s="8" t="s">
        <v>3026</v>
      </c>
      <c r="E679" s="8" t="s">
        <v>3027</v>
      </c>
      <c r="F679" s="8" t="s">
        <v>2377</v>
      </c>
      <c r="G679" s="8" t="s">
        <v>43</v>
      </c>
      <c r="H679" s="8" t="s">
        <v>3028</v>
      </c>
      <c r="I679" s="8" t="s">
        <v>58</v>
      </c>
      <c r="J679" s="8" t="s">
        <v>43</v>
      </c>
      <c r="K679" s="8" t="s">
        <v>3029</v>
      </c>
      <c r="L679" s="6"/>
      <c r="M679" s="7" t="s">
        <v>43</v>
      </c>
      <c r="N679" s="7"/>
      <c r="O679" s="7"/>
      <c r="P679" s="6" t="s">
        <v>44</v>
      </c>
      <c r="Q679" s="8" t="s">
        <v>3030</v>
      </c>
      <c r="R679" t="str">
        <f>HYPERLINK("https://docs.wto.org/imrd/directdoc.asp?DDFDocuments/t/G/SPS/NUSA3447A1.docx", "https://docs.wto.org/imrd/directdoc.asp?DDFDocuments/t/G/SPS/NUSA3447A1.docx")</f>
        <v>https://docs.wto.org/imrd/directdoc.asp?DDFDocuments/t/G/SPS/NUSA3447A1.docx</v>
      </c>
      <c r="S679" t="str">
        <f>HYPERLINK("https://docs.wto.org/imrd/directdoc.asp?DDFDocuments/u/G/SPS/NUSA3447A1.docx", "https://docs.wto.org/imrd/directdoc.asp?DDFDocuments/u/G/SPS/NUSA3447A1.docx")</f>
        <v>https://docs.wto.org/imrd/directdoc.asp?DDFDocuments/u/G/SPS/NUSA3447A1.docx</v>
      </c>
      <c r="T679" t="str">
        <f>HYPERLINK("https://docs.wto.org/imrd/directdoc.asp?DDFDocuments/v/G/SPS/NUSA3447A1.docx", "https://docs.wto.org/imrd/directdoc.asp?DDFDocuments/v/G/SPS/NUSA3447A1.docx")</f>
        <v>https://docs.wto.org/imrd/directdoc.asp?DDFDocuments/v/G/SPS/NUSA3447A1.docx</v>
      </c>
      <c r="U679" t="s">
        <v>43</v>
      </c>
      <c r="V679" t="s">
        <v>43</v>
      </c>
      <c r="W679" t="s">
        <v>43</v>
      </c>
      <c r="X679" t="s">
        <v>43</v>
      </c>
      <c r="Y679" t="s">
        <v>43</v>
      </c>
      <c r="Z679" t="s">
        <v>43</v>
      </c>
      <c r="AA679" t="s">
        <v>43</v>
      </c>
      <c r="AB679" s="2" t="s">
        <v>43</v>
      </c>
      <c r="AC679" t="s">
        <v>43</v>
      </c>
      <c r="AD679" t="s">
        <v>43</v>
      </c>
      <c r="AE679" t="s">
        <v>43</v>
      </c>
      <c r="AF679" t="s">
        <v>43</v>
      </c>
      <c r="AG679" t="s">
        <v>43</v>
      </c>
      <c r="AH679" s="2" t="s">
        <v>43</v>
      </c>
    </row>
    <row r="680" spans="1:34" ht="150">
      <c r="A680" s="6" t="s">
        <v>89</v>
      </c>
      <c r="B680" s="7">
        <v>46062</v>
      </c>
      <c r="C680" s="9" t="str">
        <f>HYPERLINK("https://eping.wto.org/en/Search?viewData= G/TBT/N/CRI/209"," G/TBT/N/CRI/209")</f>
        <v xml:space="preserve"> G/TBT/N/CRI/209</v>
      </c>
      <c r="D680" s="8" t="s">
        <v>3031</v>
      </c>
      <c r="E680" s="8" t="s">
        <v>3032</v>
      </c>
      <c r="F680" s="8" t="s">
        <v>3033</v>
      </c>
      <c r="G680" s="8" t="s">
        <v>43</v>
      </c>
      <c r="H680" s="8" t="s">
        <v>3034</v>
      </c>
      <c r="I680" s="8" t="s">
        <v>343</v>
      </c>
      <c r="J680" s="8" t="s">
        <v>43</v>
      </c>
      <c r="K680" s="8" t="s">
        <v>43</v>
      </c>
      <c r="L680" s="6"/>
      <c r="M680" s="7">
        <v>46122</v>
      </c>
      <c r="N680" s="7" t="s">
        <v>3035</v>
      </c>
      <c r="O680" s="7" t="s">
        <v>3036</v>
      </c>
      <c r="P680" s="6" t="s">
        <v>62</v>
      </c>
      <c r="Q680" s="8" t="s">
        <v>3037</v>
      </c>
      <c r="R680" t="str">
        <f>HYPERLINK("https://docs.wto.org/imrd/directdoc.asp?DDFDocuments/t/G/TBTN26/CRI209.docx", "https://docs.wto.org/imrd/directdoc.asp?DDFDocuments/t/G/TBTN26/CRI209.docx")</f>
        <v>https://docs.wto.org/imrd/directdoc.asp?DDFDocuments/t/G/TBTN26/CRI209.docx</v>
      </c>
      <c r="S680" t="str">
        <f>HYPERLINK("https://docs.wto.org/imrd/directdoc.asp?DDFDocuments/u/G/TBTN26/CRI209.docx", "https://docs.wto.org/imrd/directdoc.asp?DDFDocuments/u/G/TBTN26/CRI209.docx")</f>
        <v>https://docs.wto.org/imrd/directdoc.asp?DDFDocuments/u/G/TBTN26/CRI209.docx</v>
      </c>
      <c r="T680" t="str">
        <f>HYPERLINK("https://docs.wto.org/imrd/directdoc.asp?DDFDocuments/v/G/TBTN26/CRI209.docx", "https://docs.wto.org/imrd/directdoc.asp?DDFDocuments/v/G/TBTN26/CRI209.docx")</f>
        <v>https://docs.wto.org/imrd/directdoc.asp?DDFDocuments/v/G/TBTN26/CRI209.docx</v>
      </c>
      <c r="U680" t="s">
        <v>64</v>
      </c>
      <c r="V680" t="s">
        <v>46</v>
      </c>
      <c r="W680" t="s">
        <v>46</v>
      </c>
      <c r="X680" t="s">
        <v>46</v>
      </c>
      <c r="Y680" t="s">
        <v>46</v>
      </c>
      <c r="Z680" t="s">
        <v>46</v>
      </c>
      <c r="AA680" t="s">
        <v>46</v>
      </c>
      <c r="AB680" s="2" t="s">
        <v>3038</v>
      </c>
      <c r="AC680" t="s">
        <v>43</v>
      </c>
      <c r="AD680" t="s">
        <v>43</v>
      </c>
      <c r="AE680" t="s">
        <v>43</v>
      </c>
      <c r="AF680" t="s">
        <v>43</v>
      </c>
      <c r="AG680" t="s">
        <v>43</v>
      </c>
      <c r="AH680" s="2" t="s">
        <v>43</v>
      </c>
    </row>
    <row r="681" spans="1:34" ht="165">
      <c r="A681" s="6" t="s">
        <v>132</v>
      </c>
      <c r="B681" s="7">
        <v>46062</v>
      </c>
      <c r="C681" s="9" t="str">
        <f>HYPERLINK("https://eping.wto.org/en/Search?viewData= G/TBT/N/USA/1879/Rev.1"," G/TBT/N/USA/1879/Rev.1")</f>
        <v xml:space="preserve"> G/TBT/N/USA/1879/Rev.1</v>
      </c>
      <c r="D681" s="8" t="s">
        <v>3039</v>
      </c>
      <c r="E681" s="8" t="s">
        <v>3040</v>
      </c>
      <c r="F681" s="8" t="s">
        <v>3041</v>
      </c>
      <c r="G681" s="8" t="s">
        <v>3042</v>
      </c>
      <c r="H681" s="8" t="s">
        <v>2589</v>
      </c>
      <c r="I681" s="8" t="s">
        <v>2921</v>
      </c>
      <c r="J681" s="8" t="s">
        <v>43</v>
      </c>
      <c r="K681" s="8" t="s">
        <v>240</v>
      </c>
      <c r="L681" s="6"/>
      <c r="M681" s="7">
        <v>46119</v>
      </c>
      <c r="N681" s="7" t="s">
        <v>79</v>
      </c>
      <c r="O681" s="7" t="s">
        <v>79</v>
      </c>
      <c r="P681" s="6" t="s">
        <v>138</v>
      </c>
      <c r="Q681" s="8" t="s">
        <v>3043</v>
      </c>
      <c r="R681" t="str">
        <f>HYPERLINK("https://docs.wto.org/imrd/directdoc.asp?DDFDocuments/t/G/TBTN22/USA1879R1.docx", "https://docs.wto.org/imrd/directdoc.asp?DDFDocuments/t/G/TBTN22/USA1879R1.docx")</f>
        <v>https://docs.wto.org/imrd/directdoc.asp?DDFDocuments/t/G/TBTN22/USA1879R1.docx</v>
      </c>
      <c r="S681" t="str">
        <f>HYPERLINK("https://docs.wto.org/imrd/directdoc.asp?DDFDocuments/u/G/TBTN22/USA1879R1.docx", "https://docs.wto.org/imrd/directdoc.asp?DDFDocuments/u/G/TBTN22/USA1879R1.docx")</f>
        <v>https://docs.wto.org/imrd/directdoc.asp?DDFDocuments/u/G/TBTN22/USA1879R1.docx</v>
      </c>
      <c r="T681" t="str">
        <f>HYPERLINK("https://docs.wto.org/imrd/directdoc.asp?DDFDocuments/v/G/TBTN22/USA1879R1.docx", "https://docs.wto.org/imrd/directdoc.asp?DDFDocuments/v/G/TBTN22/USA1879R1.docx")</f>
        <v>https://docs.wto.org/imrd/directdoc.asp?DDFDocuments/v/G/TBTN22/USA1879R1.docx</v>
      </c>
      <c r="U681" t="s">
        <v>64</v>
      </c>
      <c r="V681" t="s">
        <v>46</v>
      </c>
      <c r="W681" t="s">
        <v>46</v>
      </c>
      <c r="X681" t="s">
        <v>46</v>
      </c>
      <c r="Y681" t="s">
        <v>46</v>
      </c>
      <c r="Z681" t="s">
        <v>46</v>
      </c>
      <c r="AA681" t="s">
        <v>46</v>
      </c>
      <c r="AB681" s="2" t="s">
        <v>3044</v>
      </c>
      <c r="AC681" t="s">
        <v>43</v>
      </c>
      <c r="AD681" t="s">
        <v>43</v>
      </c>
      <c r="AE681" t="s">
        <v>43</v>
      </c>
      <c r="AF681" t="s">
        <v>43</v>
      </c>
      <c r="AG681" t="s">
        <v>43</v>
      </c>
      <c r="AH681" s="2" t="s">
        <v>43</v>
      </c>
    </row>
    <row r="682" spans="1:34" ht="165">
      <c r="A682" s="6" t="s">
        <v>100</v>
      </c>
      <c r="B682" s="7">
        <v>46062</v>
      </c>
      <c r="C682" s="9" t="str">
        <f>HYPERLINK("https://eping.wto.org/en/Search?viewData= G/SPS/N/THA/759/Add.1"," G/SPS/N/THA/759/Add.1")</f>
        <v xml:space="preserve"> G/SPS/N/THA/759/Add.1</v>
      </c>
      <c r="D682" s="8" t="s">
        <v>3045</v>
      </c>
      <c r="E682" s="8" t="s">
        <v>3046</v>
      </c>
      <c r="F682" s="8" t="s">
        <v>3047</v>
      </c>
      <c r="G682" s="8" t="s">
        <v>3048</v>
      </c>
      <c r="H682" s="8" t="s">
        <v>43</v>
      </c>
      <c r="I682" s="8" t="s">
        <v>104</v>
      </c>
      <c r="J682" s="8" t="s">
        <v>43</v>
      </c>
      <c r="K682" s="8" t="s">
        <v>3049</v>
      </c>
      <c r="L682" s="6"/>
      <c r="M682" s="7" t="s">
        <v>43</v>
      </c>
      <c r="N682" s="7"/>
      <c r="O682" s="7"/>
      <c r="P682" s="6" t="s">
        <v>72</v>
      </c>
      <c r="Q682" s="6"/>
      <c r="R682" t="str">
        <f>HYPERLINK("https://docs.wto.org/imrd/directdoc.asp?DDFDocuments/t/G/SPS/NTHA759A1.docx", "https://docs.wto.org/imrd/directdoc.asp?DDFDocuments/t/G/SPS/NTHA759A1.docx")</f>
        <v>https://docs.wto.org/imrd/directdoc.asp?DDFDocuments/t/G/SPS/NTHA759A1.docx</v>
      </c>
      <c r="S682" t="str">
        <f>HYPERLINK("https://docs.wto.org/imrd/directdoc.asp?DDFDocuments/u/G/SPS/NTHA759A1.docx", "https://docs.wto.org/imrd/directdoc.asp?DDFDocuments/u/G/SPS/NTHA759A1.docx")</f>
        <v>https://docs.wto.org/imrd/directdoc.asp?DDFDocuments/u/G/SPS/NTHA759A1.docx</v>
      </c>
      <c r="T682" t="str">
        <f>HYPERLINK("https://docs.wto.org/imrd/directdoc.asp?DDFDocuments/v/G/SPS/NTHA759A1.docx", "https://docs.wto.org/imrd/directdoc.asp?DDFDocuments/v/G/SPS/NTHA759A1.docx")</f>
        <v>https://docs.wto.org/imrd/directdoc.asp?DDFDocuments/v/G/SPS/NTHA759A1.docx</v>
      </c>
      <c r="U682" t="s">
        <v>43</v>
      </c>
      <c r="V682" t="s">
        <v>43</v>
      </c>
      <c r="W682" t="s">
        <v>43</v>
      </c>
      <c r="X682" t="s">
        <v>43</v>
      </c>
      <c r="Y682" t="s">
        <v>43</v>
      </c>
      <c r="Z682" t="s">
        <v>43</v>
      </c>
      <c r="AA682" t="s">
        <v>43</v>
      </c>
      <c r="AB682" s="2" t="s">
        <v>43</v>
      </c>
      <c r="AC682" t="s">
        <v>43</v>
      </c>
      <c r="AD682" t="s">
        <v>43</v>
      </c>
      <c r="AE682" t="s">
        <v>43</v>
      </c>
      <c r="AF682" t="s">
        <v>43</v>
      </c>
      <c r="AG682" t="s">
        <v>43</v>
      </c>
      <c r="AH682" s="2" t="s">
        <v>43</v>
      </c>
    </row>
    <row r="683" spans="1:34" ht="150">
      <c r="A683" s="6" t="s">
        <v>132</v>
      </c>
      <c r="B683" s="7">
        <v>46062</v>
      </c>
      <c r="C683" s="9" t="str">
        <f>HYPERLINK("https://eping.wto.org/en/Search?viewData= G/SPS/N/USA/3473/Add.1"," G/SPS/N/USA/3473/Add.1")</f>
        <v xml:space="preserve"> G/SPS/N/USA/3473/Add.1</v>
      </c>
      <c r="D683" s="8" t="s">
        <v>3050</v>
      </c>
      <c r="E683" s="8" t="s">
        <v>3051</v>
      </c>
      <c r="F683" s="8" t="s">
        <v>2377</v>
      </c>
      <c r="G683" s="8" t="s">
        <v>43</v>
      </c>
      <c r="H683" s="8" t="s">
        <v>3028</v>
      </c>
      <c r="I683" s="8" t="s">
        <v>58</v>
      </c>
      <c r="J683" s="8" t="s">
        <v>43</v>
      </c>
      <c r="K683" s="8" t="s">
        <v>2910</v>
      </c>
      <c r="L683" s="6"/>
      <c r="M683" s="7" t="s">
        <v>43</v>
      </c>
      <c r="N683" s="7"/>
      <c r="O683" s="7"/>
      <c r="P683" s="6" t="s">
        <v>44</v>
      </c>
      <c r="Q683" s="8" t="s">
        <v>3052</v>
      </c>
      <c r="R683" t="str">
        <f>HYPERLINK("https://docs.wto.org/imrd/directdoc.asp?DDFDocuments/t/G/SPS/NUSA3473A1.docx", "https://docs.wto.org/imrd/directdoc.asp?DDFDocuments/t/G/SPS/NUSA3473A1.docx")</f>
        <v>https://docs.wto.org/imrd/directdoc.asp?DDFDocuments/t/G/SPS/NUSA3473A1.docx</v>
      </c>
      <c r="S683" t="str">
        <f>HYPERLINK("https://docs.wto.org/imrd/directdoc.asp?DDFDocuments/u/G/SPS/NUSA3473A1.docx", "https://docs.wto.org/imrd/directdoc.asp?DDFDocuments/u/G/SPS/NUSA3473A1.docx")</f>
        <v>https://docs.wto.org/imrd/directdoc.asp?DDFDocuments/u/G/SPS/NUSA3473A1.docx</v>
      </c>
      <c r="T683" t="str">
        <f>HYPERLINK("https://docs.wto.org/imrd/directdoc.asp?DDFDocuments/v/G/SPS/NUSA3473A1.docx", "https://docs.wto.org/imrd/directdoc.asp?DDFDocuments/v/G/SPS/NUSA3473A1.docx")</f>
        <v>https://docs.wto.org/imrd/directdoc.asp?DDFDocuments/v/G/SPS/NUSA3473A1.docx</v>
      </c>
      <c r="U683" t="s">
        <v>43</v>
      </c>
      <c r="V683" t="s">
        <v>43</v>
      </c>
      <c r="W683" t="s">
        <v>43</v>
      </c>
      <c r="X683" t="s">
        <v>43</v>
      </c>
      <c r="Y683" t="s">
        <v>43</v>
      </c>
      <c r="Z683" t="s">
        <v>43</v>
      </c>
      <c r="AA683" t="s">
        <v>43</v>
      </c>
      <c r="AB683" s="2" t="s">
        <v>43</v>
      </c>
      <c r="AC683" t="s">
        <v>43</v>
      </c>
      <c r="AD683" t="s">
        <v>43</v>
      </c>
      <c r="AE683" t="s">
        <v>43</v>
      </c>
      <c r="AF683" t="s">
        <v>43</v>
      </c>
      <c r="AG683" t="s">
        <v>43</v>
      </c>
      <c r="AH683" s="2" t="s">
        <v>43</v>
      </c>
    </row>
    <row r="684" spans="1:34" ht="60">
      <c r="A684" s="6" t="s">
        <v>47</v>
      </c>
      <c r="B684" s="7">
        <v>46062</v>
      </c>
      <c r="C684" s="9" t="str">
        <f>HYPERLINK("https://eping.wto.org/en/Search?viewData= G/TBT/N/CAN/769"," G/TBT/N/CAN/769")</f>
        <v xml:space="preserve"> G/TBT/N/CAN/769</v>
      </c>
      <c r="D684" s="8" t="s">
        <v>3053</v>
      </c>
      <c r="E684" s="8" t="s">
        <v>3054</v>
      </c>
      <c r="F684" s="8" t="s">
        <v>3055</v>
      </c>
      <c r="G684" s="8" t="s">
        <v>3056</v>
      </c>
      <c r="H684" s="8" t="s">
        <v>43</v>
      </c>
      <c r="I684" s="8" t="s">
        <v>52</v>
      </c>
      <c r="J684" s="8" t="s">
        <v>3057</v>
      </c>
      <c r="K684" s="8" t="s">
        <v>43</v>
      </c>
      <c r="L684" s="6"/>
      <c r="M684" s="7">
        <v>46119</v>
      </c>
      <c r="N684" s="7" t="s">
        <v>3058</v>
      </c>
      <c r="O684" s="7" t="s">
        <v>3059</v>
      </c>
      <c r="P684" s="6" t="s">
        <v>62</v>
      </c>
      <c r="Q684" s="8" t="s">
        <v>3060</v>
      </c>
      <c r="R684" t="str">
        <f>HYPERLINK("https://docs.wto.org/imrd/directdoc.asp?DDFDocuments/t/G/TBTN26/CAN769.docx", "https://docs.wto.org/imrd/directdoc.asp?DDFDocuments/t/G/TBTN26/CAN769.docx")</f>
        <v>https://docs.wto.org/imrd/directdoc.asp?DDFDocuments/t/G/TBTN26/CAN769.docx</v>
      </c>
      <c r="S684" t="str">
        <f>HYPERLINK("https://docs.wto.org/imrd/directdoc.asp?DDFDocuments/u/G/TBTN26/CAN769.docx", "https://docs.wto.org/imrd/directdoc.asp?DDFDocuments/u/G/TBTN26/CAN769.docx")</f>
        <v>https://docs.wto.org/imrd/directdoc.asp?DDFDocuments/u/G/TBTN26/CAN769.docx</v>
      </c>
      <c r="T684" t="str">
        <f>HYPERLINK("https://docs.wto.org/imrd/directdoc.asp?DDFDocuments/v/G/TBTN26/CAN769.docx", "https://docs.wto.org/imrd/directdoc.asp?DDFDocuments/v/G/TBTN26/CAN769.docx")</f>
        <v>https://docs.wto.org/imrd/directdoc.asp?DDFDocuments/v/G/TBTN26/CAN769.docx</v>
      </c>
      <c r="U684" t="s">
        <v>64</v>
      </c>
      <c r="V684" t="s">
        <v>46</v>
      </c>
      <c r="W684" t="s">
        <v>46</v>
      </c>
      <c r="X684" t="s">
        <v>46</v>
      </c>
      <c r="Y684" t="s">
        <v>46</v>
      </c>
      <c r="Z684" t="s">
        <v>46</v>
      </c>
      <c r="AA684" t="s">
        <v>46</v>
      </c>
      <c r="AB684" s="2" t="s">
        <v>3061</v>
      </c>
      <c r="AC684" t="s">
        <v>43</v>
      </c>
      <c r="AD684" t="s">
        <v>43</v>
      </c>
      <c r="AE684" t="s">
        <v>43</v>
      </c>
      <c r="AF684" t="s">
        <v>43</v>
      </c>
      <c r="AG684" t="s">
        <v>43</v>
      </c>
      <c r="AH684" s="2" t="s">
        <v>43</v>
      </c>
    </row>
    <row r="685" spans="1:34" ht="105">
      <c r="A685" s="6" t="s">
        <v>1649</v>
      </c>
      <c r="B685" s="7">
        <v>46062</v>
      </c>
      <c r="C685" s="9" t="str">
        <f>HYPERLINK("https://eping.wto.org/en/Search?viewData= G/TBT/N/VNM/392"," G/TBT/N/VNM/392")</f>
        <v xml:space="preserve"> G/TBT/N/VNM/392</v>
      </c>
      <c r="D685" s="8" t="s">
        <v>3062</v>
      </c>
      <c r="E685" s="8" t="s">
        <v>3063</v>
      </c>
      <c r="F685" s="8" t="s">
        <v>3064</v>
      </c>
      <c r="G685" s="8" t="s">
        <v>43</v>
      </c>
      <c r="H685" s="8" t="s">
        <v>43</v>
      </c>
      <c r="I685" s="8" t="s">
        <v>281</v>
      </c>
      <c r="J685" s="8" t="s">
        <v>3065</v>
      </c>
      <c r="K685" s="8" t="s">
        <v>43</v>
      </c>
      <c r="L685" s="6"/>
      <c r="M685" s="7">
        <v>46122</v>
      </c>
      <c r="N685" s="7" t="s">
        <v>2479</v>
      </c>
      <c r="O685" s="7" t="s">
        <v>2479</v>
      </c>
      <c r="P685" s="6" t="s">
        <v>62</v>
      </c>
      <c r="Q685" s="8" t="s">
        <v>3066</v>
      </c>
      <c r="R685" t="str">
        <f>HYPERLINK("https://docs.wto.org/imrd/directdoc.asp?DDFDocuments/t/G/TBTN26/VNM392.docx", "https://docs.wto.org/imrd/directdoc.asp?DDFDocuments/t/G/TBTN26/VNM392.docx")</f>
        <v>https://docs.wto.org/imrd/directdoc.asp?DDFDocuments/t/G/TBTN26/VNM392.docx</v>
      </c>
      <c r="S685" t="str">
        <f>HYPERLINK("https://docs.wto.org/imrd/directdoc.asp?DDFDocuments/u/G/TBTN26/VNM392.docx", "https://docs.wto.org/imrd/directdoc.asp?DDFDocuments/u/G/TBTN26/VNM392.docx")</f>
        <v>https://docs.wto.org/imrd/directdoc.asp?DDFDocuments/u/G/TBTN26/VNM392.docx</v>
      </c>
      <c r="T685" t="str">
        <f>HYPERLINK("https://docs.wto.org/imrd/directdoc.asp?DDFDocuments/v/G/TBTN26/VNM392.docx", "https://docs.wto.org/imrd/directdoc.asp?DDFDocuments/v/G/TBTN26/VNM392.docx")</f>
        <v>https://docs.wto.org/imrd/directdoc.asp?DDFDocuments/v/G/TBTN26/VNM392.docx</v>
      </c>
      <c r="U685" t="s">
        <v>64</v>
      </c>
      <c r="V685" t="s">
        <v>46</v>
      </c>
      <c r="W685" t="s">
        <v>46</v>
      </c>
      <c r="X685" t="s">
        <v>46</v>
      </c>
      <c r="Y685" t="s">
        <v>46</v>
      </c>
      <c r="Z685" t="s">
        <v>46</v>
      </c>
      <c r="AA685" t="s">
        <v>46</v>
      </c>
      <c r="AB685" s="2" t="s">
        <v>3067</v>
      </c>
      <c r="AC685" t="s">
        <v>43</v>
      </c>
      <c r="AD685" t="s">
        <v>43</v>
      </c>
      <c r="AE685" t="s">
        <v>43</v>
      </c>
      <c r="AF685" t="s">
        <v>43</v>
      </c>
      <c r="AG685" t="s">
        <v>43</v>
      </c>
      <c r="AH685" s="2" t="s">
        <v>43</v>
      </c>
    </row>
    <row r="686" spans="1:34" ht="60">
      <c r="A686" s="6" t="s">
        <v>390</v>
      </c>
      <c r="B686" s="7">
        <v>46059</v>
      </c>
      <c r="C686" s="9" t="str">
        <f>HYPERLINK("https://eping.wto.org/en/Search?viewData= G/TBT/N/BDI/243/Add.4, G/TBT/N/KEN/1262/Add.4, G/TBT/N/RWA/673/Add.4, G/TBT/N/TZA/783/Add.4, G/TBT/N/UGA/1597/Add.4"," G/TBT/N/BDI/243/Add.4, G/TBT/N/KEN/1262/Add.4, G/TBT/N/RWA/673/Add.4, G/TBT/N/TZA/783/Add.4, G/TBT/N/UGA/1597/Add.4")</f>
        <v xml:space="preserve"> G/TBT/N/BDI/243/Add.4, G/TBT/N/KEN/1262/Add.4, G/TBT/N/RWA/673/Add.4, G/TBT/N/TZA/783/Add.4, G/TBT/N/UGA/1597/Add.4</v>
      </c>
      <c r="D686" s="8" t="s">
        <v>3068</v>
      </c>
      <c r="E686" s="8" t="s">
        <v>3069</v>
      </c>
      <c r="F686" s="8" t="s">
        <v>3070</v>
      </c>
      <c r="G686" s="8" t="s">
        <v>3071</v>
      </c>
      <c r="H686" s="8" t="s">
        <v>3072</v>
      </c>
      <c r="I686" s="8" t="s">
        <v>3073</v>
      </c>
      <c r="J686" s="8"/>
      <c r="K686" s="8" t="s">
        <v>3074</v>
      </c>
      <c r="L686" s="6"/>
      <c r="M686" s="7" t="s">
        <v>43</v>
      </c>
      <c r="N686" s="7"/>
      <c r="O686" s="7"/>
      <c r="P686" s="6" t="s">
        <v>44</v>
      </c>
      <c r="Q686" s="6"/>
      <c r="R686" t="str">
        <f>HYPERLINK("https://docs.wto.org/imrd/directdoc.asp?DDFDocuments/t/G/TBTN22/BDI243A4.docx", "https://docs.wto.org/imrd/directdoc.asp?DDFDocuments/t/G/TBTN22/BDI243A4.docx")</f>
        <v>https://docs.wto.org/imrd/directdoc.asp?DDFDocuments/t/G/TBTN22/BDI243A4.docx</v>
      </c>
      <c r="S686" t="str">
        <f>HYPERLINK("https://docs.wto.org/imrd/directdoc.asp?DDFDocuments/u/G/TBTN22/BDI243A4.docx", "https://docs.wto.org/imrd/directdoc.asp?DDFDocuments/u/G/TBTN22/BDI243A4.docx")</f>
        <v>https://docs.wto.org/imrd/directdoc.asp?DDFDocuments/u/G/TBTN22/BDI243A4.docx</v>
      </c>
      <c r="T686" t="str">
        <f>HYPERLINK("https://docs.wto.org/imrd/directdoc.asp?DDFDocuments/v/G/TBTN22/BDI243A4.docx", "https://docs.wto.org/imrd/directdoc.asp?DDFDocuments/v/G/TBTN22/BDI243A4.docx")</f>
        <v>https://docs.wto.org/imrd/directdoc.asp?DDFDocuments/v/G/TBTN22/BDI243A4.docx</v>
      </c>
      <c r="U686" t="s">
        <v>64</v>
      </c>
      <c r="V686" t="s">
        <v>46</v>
      </c>
      <c r="W686" t="s">
        <v>46</v>
      </c>
      <c r="X686" t="s">
        <v>46</v>
      </c>
      <c r="Y686" t="s">
        <v>46</v>
      </c>
      <c r="Z686" t="s">
        <v>46</v>
      </c>
      <c r="AA686" t="s">
        <v>46</v>
      </c>
      <c r="AB686" s="2" t="s">
        <v>43</v>
      </c>
      <c r="AC686" t="s">
        <v>43</v>
      </c>
      <c r="AD686" t="s">
        <v>43</v>
      </c>
      <c r="AE686" t="s">
        <v>43</v>
      </c>
      <c r="AF686" t="s">
        <v>43</v>
      </c>
      <c r="AG686" t="s">
        <v>43</v>
      </c>
      <c r="AH686" s="2" t="s">
        <v>43</v>
      </c>
    </row>
    <row r="687" spans="1:34" ht="60">
      <c r="A687" s="6" t="s">
        <v>390</v>
      </c>
      <c r="B687" s="7">
        <v>46059</v>
      </c>
      <c r="C687" s="9" t="str">
        <f>HYPERLINK("https://eping.wto.org/en/Search?viewData= G/TBT/N/BDI/242/Add.3, G/TBT/N/KEN/1261/Add.3, G/TBT/N/RWA/672/Add.3, G/TBT/N/TZA/782/Add.3, G/TBT/N/UGA/1595/Add.3"," G/TBT/N/BDI/242/Add.3, G/TBT/N/KEN/1261/Add.3, G/TBT/N/RWA/672/Add.3, G/TBT/N/TZA/782/Add.3, G/TBT/N/UGA/1595/Add.3")</f>
        <v xml:space="preserve"> G/TBT/N/BDI/242/Add.3, G/TBT/N/KEN/1261/Add.3, G/TBT/N/RWA/672/Add.3, G/TBT/N/TZA/782/Add.3, G/TBT/N/UGA/1595/Add.3</v>
      </c>
      <c r="D687" s="8" t="s">
        <v>3075</v>
      </c>
      <c r="E687" s="8" t="s">
        <v>3076</v>
      </c>
      <c r="F687" s="8" t="s">
        <v>3077</v>
      </c>
      <c r="G687" s="8" t="s">
        <v>3078</v>
      </c>
      <c r="H687" s="8" t="s">
        <v>1959</v>
      </c>
      <c r="I687" s="8" t="s">
        <v>3079</v>
      </c>
      <c r="J687" s="8"/>
      <c r="K687" s="8" t="s">
        <v>3080</v>
      </c>
      <c r="L687" s="6"/>
      <c r="M687" s="7" t="s">
        <v>43</v>
      </c>
      <c r="N687" s="7"/>
      <c r="O687" s="7"/>
      <c r="P687" s="6" t="s">
        <v>44</v>
      </c>
      <c r="Q687" s="6"/>
      <c r="R687" t="str">
        <f>HYPERLINK("https://docs.wto.org/imrd/directdoc.asp?DDFDocuments/t/G/TBTN22/BDI242A3.docx", "https://docs.wto.org/imrd/directdoc.asp?DDFDocuments/t/G/TBTN22/BDI242A3.docx")</f>
        <v>https://docs.wto.org/imrd/directdoc.asp?DDFDocuments/t/G/TBTN22/BDI242A3.docx</v>
      </c>
      <c r="S687" t="str">
        <f>HYPERLINK("https://docs.wto.org/imrd/directdoc.asp?DDFDocuments/u/G/TBTN22/BDI242A3.docx", "https://docs.wto.org/imrd/directdoc.asp?DDFDocuments/u/G/TBTN22/BDI242A3.docx")</f>
        <v>https://docs.wto.org/imrd/directdoc.asp?DDFDocuments/u/G/TBTN22/BDI242A3.docx</v>
      </c>
      <c r="T687" t="str">
        <f>HYPERLINK("https://docs.wto.org/imrd/directdoc.asp?DDFDocuments/v/G/TBTN22/BDI242A3.docx", "https://docs.wto.org/imrd/directdoc.asp?DDFDocuments/v/G/TBTN22/BDI242A3.docx")</f>
        <v>https://docs.wto.org/imrd/directdoc.asp?DDFDocuments/v/G/TBTN22/BDI242A3.docx</v>
      </c>
      <c r="U687" t="s">
        <v>64</v>
      </c>
      <c r="V687" t="s">
        <v>46</v>
      </c>
      <c r="W687" t="s">
        <v>46</v>
      </c>
      <c r="X687" t="s">
        <v>46</v>
      </c>
      <c r="Y687" t="s">
        <v>46</v>
      </c>
      <c r="Z687" t="s">
        <v>46</v>
      </c>
      <c r="AA687" t="s">
        <v>46</v>
      </c>
      <c r="AB687" s="2" t="s">
        <v>43</v>
      </c>
      <c r="AC687" t="s">
        <v>43</v>
      </c>
      <c r="AD687" t="s">
        <v>43</v>
      </c>
      <c r="AE687" t="s">
        <v>43</v>
      </c>
      <c r="AF687" t="s">
        <v>43</v>
      </c>
      <c r="AG687" t="s">
        <v>43</v>
      </c>
      <c r="AH687" s="2" t="s">
        <v>43</v>
      </c>
    </row>
    <row r="688" spans="1:34" ht="30">
      <c r="A688" s="6" t="s">
        <v>338</v>
      </c>
      <c r="B688" s="7">
        <v>46059</v>
      </c>
      <c r="C688" s="9" t="str">
        <f>HYPERLINK("https://eping.wto.org/en/Search?viewData= G/TBT/N/SAU/1429"," G/TBT/N/SAU/1429")</f>
        <v xml:space="preserve"> G/TBT/N/SAU/1429</v>
      </c>
      <c r="D688" s="8" t="s">
        <v>3081</v>
      </c>
      <c r="E688" s="8" t="s">
        <v>3082</v>
      </c>
      <c r="F688" s="8" t="s">
        <v>2867</v>
      </c>
      <c r="G688" s="8" t="s">
        <v>43</v>
      </c>
      <c r="H688" s="8" t="s">
        <v>453</v>
      </c>
      <c r="I688" s="8" t="s">
        <v>3083</v>
      </c>
      <c r="J688" s="8" t="s">
        <v>3084</v>
      </c>
      <c r="K688" s="8" t="s">
        <v>240</v>
      </c>
      <c r="L688" s="6"/>
      <c r="M688" s="7">
        <v>46119</v>
      </c>
      <c r="N688" s="7" t="s">
        <v>79</v>
      </c>
      <c r="O688" s="7" t="s">
        <v>79</v>
      </c>
      <c r="P688" s="6" t="s">
        <v>62</v>
      </c>
      <c r="Q688" s="8" t="s">
        <v>3085</v>
      </c>
      <c r="R688" t="str">
        <f>HYPERLINK("https://docs.wto.org/imrd/directdoc.asp?DDFDocuments/t/G/TBTN26/SAU1429.docx", "https://docs.wto.org/imrd/directdoc.asp?DDFDocuments/t/G/TBTN26/SAU1429.docx")</f>
        <v>https://docs.wto.org/imrd/directdoc.asp?DDFDocuments/t/G/TBTN26/SAU1429.docx</v>
      </c>
      <c r="S688" t="str">
        <f>HYPERLINK("https://docs.wto.org/imrd/directdoc.asp?DDFDocuments/u/G/TBTN26/SAU1429.docx", "https://docs.wto.org/imrd/directdoc.asp?DDFDocuments/u/G/TBTN26/SAU1429.docx")</f>
        <v>https://docs.wto.org/imrd/directdoc.asp?DDFDocuments/u/G/TBTN26/SAU1429.docx</v>
      </c>
      <c r="T688" t="str">
        <f>HYPERLINK("https://docs.wto.org/imrd/directdoc.asp?DDFDocuments/v/G/TBTN26/SAU1429.docx", "https://docs.wto.org/imrd/directdoc.asp?DDFDocuments/v/G/TBTN26/SAU1429.docx")</f>
        <v>https://docs.wto.org/imrd/directdoc.asp?DDFDocuments/v/G/TBTN26/SAU1429.docx</v>
      </c>
      <c r="U688" t="s">
        <v>64</v>
      </c>
      <c r="V688" t="s">
        <v>46</v>
      </c>
      <c r="W688" t="s">
        <v>46</v>
      </c>
      <c r="X688" t="s">
        <v>46</v>
      </c>
      <c r="Y688" t="s">
        <v>46</v>
      </c>
      <c r="Z688" t="s">
        <v>46</v>
      </c>
      <c r="AA688" t="s">
        <v>46</v>
      </c>
      <c r="AB688" s="2" t="s">
        <v>3086</v>
      </c>
      <c r="AC688" t="s">
        <v>43</v>
      </c>
      <c r="AD688" t="s">
        <v>43</v>
      </c>
      <c r="AE688" t="s">
        <v>43</v>
      </c>
      <c r="AF688" t="s">
        <v>43</v>
      </c>
      <c r="AG688" t="s">
        <v>43</v>
      </c>
      <c r="AH688" s="2" t="s">
        <v>43</v>
      </c>
    </row>
    <row r="689" spans="1:34" ht="135">
      <c r="A689" s="6" t="s">
        <v>356</v>
      </c>
      <c r="B689" s="7">
        <v>46059</v>
      </c>
      <c r="C689" s="9" t="str">
        <f>HYPERLINK("https://eping.wto.org/en/Search?viewData= G/SPS/N/EU/842/Add.1"," G/SPS/N/EU/842/Add.1")</f>
        <v xml:space="preserve"> G/SPS/N/EU/842/Add.1</v>
      </c>
      <c r="D689" s="8" t="s">
        <v>3087</v>
      </c>
      <c r="E689" s="8" t="s">
        <v>3088</v>
      </c>
      <c r="F689" s="8" t="s">
        <v>3089</v>
      </c>
      <c r="G689" s="8" t="s">
        <v>3090</v>
      </c>
      <c r="H689" s="8" t="s">
        <v>43</v>
      </c>
      <c r="I689" s="8" t="s">
        <v>254</v>
      </c>
      <c r="J689" s="8" t="s">
        <v>43</v>
      </c>
      <c r="K689" s="8" t="s">
        <v>2951</v>
      </c>
      <c r="L689" s="6"/>
      <c r="M689" s="7" t="s">
        <v>43</v>
      </c>
      <c r="N689" s="7"/>
      <c r="O689" s="7"/>
      <c r="P689" s="6" t="s">
        <v>44</v>
      </c>
      <c r="Q689" s="8" t="s">
        <v>3091</v>
      </c>
      <c r="R689" t="str">
        <f>HYPERLINK("https://docs.wto.org/imrd/directdoc.asp?DDFDocuments/t/G/SPS/NEU842A1.docx", "https://docs.wto.org/imrd/directdoc.asp?DDFDocuments/t/G/SPS/NEU842A1.docx")</f>
        <v>https://docs.wto.org/imrd/directdoc.asp?DDFDocuments/t/G/SPS/NEU842A1.docx</v>
      </c>
      <c r="S689" t="str">
        <f>HYPERLINK("https://docs.wto.org/imrd/directdoc.asp?DDFDocuments/u/G/SPS/NEU842A1.docx", "https://docs.wto.org/imrd/directdoc.asp?DDFDocuments/u/G/SPS/NEU842A1.docx")</f>
        <v>https://docs.wto.org/imrd/directdoc.asp?DDFDocuments/u/G/SPS/NEU842A1.docx</v>
      </c>
      <c r="T689" t="str">
        <f>HYPERLINK("https://docs.wto.org/imrd/directdoc.asp?DDFDocuments/v/G/SPS/NEU842A1.docx", "https://docs.wto.org/imrd/directdoc.asp?DDFDocuments/v/G/SPS/NEU842A1.docx")</f>
        <v>https://docs.wto.org/imrd/directdoc.asp?DDFDocuments/v/G/SPS/NEU842A1.docx</v>
      </c>
      <c r="U689" t="s">
        <v>43</v>
      </c>
      <c r="V689" t="s">
        <v>43</v>
      </c>
      <c r="W689" t="s">
        <v>43</v>
      </c>
      <c r="X689" t="s">
        <v>43</v>
      </c>
      <c r="Y689" t="s">
        <v>43</v>
      </c>
      <c r="Z689" t="s">
        <v>43</v>
      </c>
      <c r="AA689" t="s">
        <v>43</v>
      </c>
      <c r="AB689" s="2" t="s">
        <v>43</v>
      </c>
      <c r="AC689" t="s">
        <v>43</v>
      </c>
      <c r="AD689" t="s">
        <v>43</v>
      </c>
      <c r="AE689" t="s">
        <v>43</v>
      </c>
      <c r="AF689" t="s">
        <v>43</v>
      </c>
      <c r="AG689" t="s">
        <v>43</v>
      </c>
      <c r="AH689" s="2" t="s">
        <v>43</v>
      </c>
    </row>
    <row r="690" spans="1:34" ht="60">
      <c r="A690" s="6" t="s">
        <v>108</v>
      </c>
      <c r="B690" s="7">
        <v>46059</v>
      </c>
      <c r="C690" s="9" t="str">
        <f>HYPERLINK("https://eping.wto.org/en/Search?viewData= G/TBT/N/BDI/243/Add.4, G/TBT/N/KEN/1262/Add.4, G/TBT/N/RWA/673/Add.4, G/TBT/N/TZA/783/Add.4, G/TBT/N/UGA/1597/Add.4"," G/TBT/N/BDI/243/Add.4, G/TBT/N/KEN/1262/Add.4, G/TBT/N/RWA/673/Add.4, G/TBT/N/TZA/783/Add.4, G/TBT/N/UGA/1597/Add.4")</f>
        <v xml:space="preserve"> G/TBT/N/BDI/243/Add.4, G/TBT/N/KEN/1262/Add.4, G/TBT/N/RWA/673/Add.4, G/TBT/N/TZA/783/Add.4, G/TBT/N/UGA/1597/Add.4</v>
      </c>
      <c r="D690" s="8" t="s">
        <v>3068</v>
      </c>
      <c r="E690" s="8" t="s">
        <v>3069</v>
      </c>
      <c r="F690" s="8" t="s">
        <v>3070</v>
      </c>
      <c r="G690" s="8" t="s">
        <v>3071</v>
      </c>
      <c r="H690" s="8" t="s">
        <v>3072</v>
      </c>
      <c r="I690" s="8" t="s">
        <v>3092</v>
      </c>
      <c r="J690" s="8"/>
      <c r="K690" s="8" t="s">
        <v>3074</v>
      </c>
      <c r="L690" s="6"/>
      <c r="M690" s="7" t="s">
        <v>43</v>
      </c>
      <c r="N690" s="7"/>
      <c r="O690" s="7"/>
      <c r="P690" s="6" t="s">
        <v>44</v>
      </c>
      <c r="Q690" s="6"/>
      <c r="R690" t="str">
        <f>HYPERLINK("https://docs.wto.org/imrd/directdoc.asp?DDFDocuments/t/G/TBTN22/BDI243A4.docx", "https://docs.wto.org/imrd/directdoc.asp?DDFDocuments/t/G/TBTN22/BDI243A4.docx")</f>
        <v>https://docs.wto.org/imrd/directdoc.asp?DDFDocuments/t/G/TBTN22/BDI243A4.docx</v>
      </c>
      <c r="S690" t="str">
        <f>HYPERLINK("https://docs.wto.org/imrd/directdoc.asp?DDFDocuments/u/G/TBTN22/BDI243A4.docx", "https://docs.wto.org/imrd/directdoc.asp?DDFDocuments/u/G/TBTN22/BDI243A4.docx")</f>
        <v>https://docs.wto.org/imrd/directdoc.asp?DDFDocuments/u/G/TBTN22/BDI243A4.docx</v>
      </c>
      <c r="T690" t="str">
        <f>HYPERLINK("https://docs.wto.org/imrd/directdoc.asp?DDFDocuments/v/G/TBTN22/BDI243A4.docx", "https://docs.wto.org/imrd/directdoc.asp?DDFDocuments/v/G/TBTN22/BDI243A4.docx")</f>
        <v>https://docs.wto.org/imrd/directdoc.asp?DDFDocuments/v/G/TBTN22/BDI243A4.docx</v>
      </c>
      <c r="U690" t="s">
        <v>64</v>
      </c>
      <c r="V690" t="s">
        <v>46</v>
      </c>
      <c r="W690" t="s">
        <v>46</v>
      </c>
      <c r="X690" t="s">
        <v>46</v>
      </c>
      <c r="Y690" t="s">
        <v>46</v>
      </c>
      <c r="Z690" t="s">
        <v>46</v>
      </c>
      <c r="AA690" t="s">
        <v>46</v>
      </c>
      <c r="AB690" s="2" t="s">
        <v>43</v>
      </c>
      <c r="AC690" t="s">
        <v>43</v>
      </c>
      <c r="AD690" t="s">
        <v>43</v>
      </c>
      <c r="AE690" t="s">
        <v>43</v>
      </c>
      <c r="AF690" t="s">
        <v>43</v>
      </c>
      <c r="AG690" t="s">
        <v>43</v>
      </c>
      <c r="AH690" s="2" t="s">
        <v>43</v>
      </c>
    </row>
    <row r="691" spans="1:34" ht="75">
      <c r="A691" s="6" t="s">
        <v>124</v>
      </c>
      <c r="B691" s="7">
        <v>46059</v>
      </c>
      <c r="C691" s="9" t="str">
        <f>HYPERLINK("https://eping.wto.org/en/Search?viewData= G/TBT/N/BDI/242/Add.3, G/TBT/N/KEN/1261/Add.3, G/TBT/N/RWA/672/Add.3, G/TBT/N/TZA/782/Add.3, G/TBT/N/UGA/1595/Add.3"," G/TBT/N/BDI/242/Add.3, G/TBT/N/KEN/1261/Add.3, G/TBT/N/RWA/672/Add.3, G/TBT/N/TZA/782/Add.3, G/TBT/N/UGA/1595/Add.3")</f>
        <v xml:space="preserve"> G/TBT/N/BDI/242/Add.3, G/TBT/N/KEN/1261/Add.3, G/TBT/N/RWA/672/Add.3, G/TBT/N/TZA/782/Add.3, G/TBT/N/UGA/1595/Add.3</v>
      </c>
      <c r="D691" s="8" t="s">
        <v>3075</v>
      </c>
      <c r="E691" s="8" t="s">
        <v>3076</v>
      </c>
      <c r="F691" s="8" t="s">
        <v>3077</v>
      </c>
      <c r="G691" s="8" t="s">
        <v>3078</v>
      </c>
      <c r="H691" s="8" t="s">
        <v>1959</v>
      </c>
      <c r="I691" s="8" t="s">
        <v>3093</v>
      </c>
      <c r="J691" s="8"/>
      <c r="K691" s="8" t="s">
        <v>3080</v>
      </c>
      <c r="L691" s="6"/>
      <c r="M691" s="7" t="s">
        <v>43</v>
      </c>
      <c r="N691" s="7"/>
      <c r="O691" s="7"/>
      <c r="P691" s="6" t="s">
        <v>44</v>
      </c>
      <c r="Q691" s="6"/>
      <c r="R691" t="str">
        <f>HYPERLINK("https://docs.wto.org/imrd/directdoc.asp?DDFDocuments/t/G/TBTN22/BDI242A3.docx", "https://docs.wto.org/imrd/directdoc.asp?DDFDocuments/t/G/TBTN22/BDI242A3.docx")</f>
        <v>https://docs.wto.org/imrd/directdoc.asp?DDFDocuments/t/G/TBTN22/BDI242A3.docx</v>
      </c>
      <c r="S691" t="str">
        <f>HYPERLINK("https://docs.wto.org/imrd/directdoc.asp?DDFDocuments/u/G/TBTN22/BDI242A3.docx", "https://docs.wto.org/imrd/directdoc.asp?DDFDocuments/u/G/TBTN22/BDI242A3.docx")</f>
        <v>https://docs.wto.org/imrd/directdoc.asp?DDFDocuments/u/G/TBTN22/BDI242A3.docx</v>
      </c>
      <c r="T691" t="str">
        <f>HYPERLINK("https://docs.wto.org/imrd/directdoc.asp?DDFDocuments/v/G/TBTN22/BDI242A3.docx", "https://docs.wto.org/imrd/directdoc.asp?DDFDocuments/v/G/TBTN22/BDI242A3.docx")</f>
        <v>https://docs.wto.org/imrd/directdoc.asp?DDFDocuments/v/G/TBTN22/BDI242A3.docx</v>
      </c>
      <c r="U691" t="s">
        <v>64</v>
      </c>
      <c r="V691" t="s">
        <v>46</v>
      </c>
      <c r="W691" t="s">
        <v>46</v>
      </c>
      <c r="X691" t="s">
        <v>46</v>
      </c>
      <c r="Y691" t="s">
        <v>46</v>
      </c>
      <c r="Z691" t="s">
        <v>46</v>
      </c>
      <c r="AA691" t="s">
        <v>46</v>
      </c>
      <c r="AB691" s="2" t="s">
        <v>43</v>
      </c>
      <c r="AC691" t="s">
        <v>43</v>
      </c>
      <c r="AD691" t="s">
        <v>43</v>
      </c>
      <c r="AE691" t="s">
        <v>43</v>
      </c>
      <c r="AF691" t="s">
        <v>43</v>
      </c>
      <c r="AG691" t="s">
        <v>43</v>
      </c>
      <c r="AH691" s="2" t="s">
        <v>43</v>
      </c>
    </row>
    <row r="692" spans="1:34" ht="90">
      <c r="A692" s="6" t="s">
        <v>108</v>
      </c>
      <c r="B692" s="7">
        <v>46059</v>
      </c>
      <c r="C692" s="9" t="str">
        <f>HYPERLINK("https://eping.wto.org/en/Search?viewData= G/TBT/N/BDI/222/Add.3, G/TBT/N/KEN/1231/Add.3, G/TBT/N/RWA/648/Add.3, G/TBT/N/TZA/723/Add.3, G/TBT/N/UGA/1555/Add.3"," G/TBT/N/BDI/222/Add.3, G/TBT/N/KEN/1231/Add.3, G/TBT/N/RWA/648/Add.3, G/TBT/N/TZA/723/Add.3, G/TBT/N/UGA/1555/Add.3")</f>
        <v xml:space="preserve"> G/TBT/N/BDI/222/Add.3, G/TBT/N/KEN/1231/Add.3, G/TBT/N/RWA/648/Add.3, G/TBT/N/TZA/723/Add.3, G/TBT/N/UGA/1555/Add.3</v>
      </c>
      <c r="D692" s="8" t="s">
        <v>3094</v>
      </c>
      <c r="E692" s="8" t="s">
        <v>3095</v>
      </c>
      <c r="F692" s="8" t="s">
        <v>2819</v>
      </c>
      <c r="G692" s="8" t="s">
        <v>43</v>
      </c>
      <c r="H692" s="8" t="s">
        <v>2821</v>
      </c>
      <c r="I692" s="8" t="s">
        <v>3096</v>
      </c>
      <c r="J692" s="8" t="s">
        <v>43</v>
      </c>
      <c r="K692" s="8" t="s">
        <v>1029</v>
      </c>
      <c r="L692" s="6"/>
      <c r="M692" s="7" t="s">
        <v>43</v>
      </c>
      <c r="N692" s="7"/>
      <c r="O692" s="7"/>
      <c r="P692" s="6" t="s">
        <v>44</v>
      </c>
      <c r="Q692" s="6"/>
      <c r="R692" t="str">
        <f>HYPERLINK("https://docs.wto.org/imrd/directdoc.asp?DDFDocuments/t/G/TBTN22/BDI222A3.docx", "https://docs.wto.org/imrd/directdoc.asp?DDFDocuments/t/G/TBTN22/BDI222A3.docx")</f>
        <v>https://docs.wto.org/imrd/directdoc.asp?DDFDocuments/t/G/TBTN22/BDI222A3.docx</v>
      </c>
      <c r="S692" t="str">
        <f>HYPERLINK("https://docs.wto.org/imrd/directdoc.asp?DDFDocuments/u/G/TBTN22/BDI222A3.docx", "https://docs.wto.org/imrd/directdoc.asp?DDFDocuments/u/G/TBTN22/BDI222A3.docx")</f>
        <v>https://docs.wto.org/imrd/directdoc.asp?DDFDocuments/u/G/TBTN22/BDI222A3.docx</v>
      </c>
      <c r="T692" t="str">
        <f>HYPERLINK("https://docs.wto.org/imrd/directdoc.asp?DDFDocuments/v/G/TBTN22/BDI222A3.docx", "https://docs.wto.org/imrd/directdoc.asp?DDFDocuments/v/G/TBTN22/BDI222A3.docx")</f>
        <v>https://docs.wto.org/imrd/directdoc.asp?DDFDocuments/v/G/TBTN22/BDI222A3.docx</v>
      </c>
      <c r="U692" t="s">
        <v>64</v>
      </c>
      <c r="V692" t="s">
        <v>46</v>
      </c>
      <c r="W692" t="s">
        <v>46</v>
      </c>
      <c r="X692" t="s">
        <v>46</v>
      </c>
      <c r="Y692" t="s">
        <v>46</v>
      </c>
      <c r="Z692" t="s">
        <v>46</v>
      </c>
      <c r="AA692" t="s">
        <v>46</v>
      </c>
      <c r="AB692" s="2" t="s">
        <v>43</v>
      </c>
      <c r="AC692" t="s">
        <v>43</v>
      </c>
      <c r="AD692" t="s">
        <v>43</v>
      </c>
      <c r="AE692" t="s">
        <v>43</v>
      </c>
      <c r="AF692" t="s">
        <v>43</v>
      </c>
      <c r="AG692" t="s">
        <v>43</v>
      </c>
      <c r="AH692" s="2" t="s">
        <v>43</v>
      </c>
    </row>
    <row r="693" spans="1:34" ht="90">
      <c r="A693" s="6" t="s">
        <v>108</v>
      </c>
      <c r="B693" s="7">
        <v>46059</v>
      </c>
      <c r="C693" s="9" t="str">
        <f>HYPERLINK("https://eping.wto.org/en/Search?viewData= G/TBT/N/BDI/223/Add.2, G/TBT/N/KEN/1232/Add.2, G/TBT/N/RWA/649/Add.2, G/TBT/N/TZA/724/Add.2, G/TBT/N/UGA/1556/Add.2"," G/TBT/N/BDI/223/Add.2, G/TBT/N/KEN/1232/Add.2, G/TBT/N/RWA/649/Add.2, G/TBT/N/TZA/724/Add.2, G/TBT/N/UGA/1556/Add.2")</f>
        <v xml:space="preserve"> G/TBT/N/BDI/223/Add.2, G/TBT/N/KEN/1232/Add.2, G/TBT/N/RWA/649/Add.2, G/TBT/N/TZA/724/Add.2, G/TBT/N/UGA/1556/Add.2</v>
      </c>
      <c r="D693" s="8" t="s">
        <v>3097</v>
      </c>
      <c r="E693" s="8" t="s">
        <v>3098</v>
      </c>
      <c r="F693" s="8" t="s">
        <v>2819</v>
      </c>
      <c r="G693" s="8" t="s">
        <v>43</v>
      </c>
      <c r="H693" s="8" t="s">
        <v>2821</v>
      </c>
      <c r="I693" s="8" t="s">
        <v>2846</v>
      </c>
      <c r="J693" s="8" t="s">
        <v>43</v>
      </c>
      <c r="K693" s="8" t="s">
        <v>1029</v>
      </c>
      <c r="L693" s="6"/>
      <c r="M693" s="7" t="s">
        <v>43</v>
      </c>
      <c r="N693" s="7"/>
      <c r="O693" s="7"/>
      <c r="P693" s="6" t="s">
        <v>44</v>
      </c>
      <c r="Q693" s="6"/>
      <c r="R693" t="str">
        <f>HYPERLINK("https://docs.wto.org/imrd/directdoc.asp?DDFDocuments/t/G/TBTN22/BDI223A2.docx", "https://docs.wto.org/imrd/directdoc.asp?DDFDocuments/t/G/TBTN22/BDI223A2.docx")</f>
        <v>https://docs.wto.org/imrd/directdoc.asp?DDFDocuments/t/G/TBTN22/BDI223A2.docx</v>
      </c>
      <c r="S693" t="str">
        <f>HYPERLINK("https://docs.wto.org/imrd/directdoc.asp?DDFDocuments/u/G/TBTN22/BDI223A2.docx", "https://docs.wto.org/imrd/directdoc.asp?DDFDocuments/u/G/TBTN22/BDI223A2.docx")</f>
        <v>https://docs.wto.org/imrd/directdoc.asp?DDFDocuments/u/G/TBTN22/BDI223A2.docx</v>
      </c>
      <c r="T693" t="str">
        <f>HYPERLINK("https://docs.wto.org/imrd/directdoc.asp?DDFDocuments/v/G/TBTN22/BDI223A2.docx", "https://docs.wto.org/imrd/directdoc.asp?DDFDocuments/v/G/TBTN22/BDI223A2.docx")</f>
        <v>https://docs.wto.org/imrd/directdoc.asp?DDFDocuments/v/G/TBTN22/BDI223A2.docx</v>
      </c>
      <c r="U693" t="s">
        <v>64</v>
      </c>
      <c r="V693" t="s">
        <v>46</v>
      </c>
      <c r="W693" t="s">
        <v>46</v>
      </c>
      <c r="X693" t="s">
        <v>46</v>
      </c>
      <c r="Y693" t="s">
        <v>46</v>
      </c>
      <c r="Z693" t="s">
        <v>46</v>
      </c>
      <c r="AA693" t="s">
        <v>46</v>
      </c>
      <c r="AB693" s="2" t="s">
        <v>43</v>
      </c>
      <c r="AC693" t="s">
        <v>43</v>
      </c>
      <c r="AD693" t="s">
        <v>43</v>
      </c>
      <c r="AE693" t="s">
        <v>43</v>
      </c>
      <c r="AF693" t="s">
        <v>43</v>
      </c>
      <c r="AG693" t="s">
        <v>43</v>
      </c>
      <c r="AH693" s="2" t="s">
        <v>43</v>
      </c>
    </row>
    <row r="694" spans="1:34" ht="90">
      <c r="A694" s="6" t="s">
        <v>577</v>
      </c>
      <c r="B694" s="7">
        <v>46059</v>
      </c>
      <c r="C694" s="9" t="str">
        <f>HYPERLINK("https://eping.wto.org/en/Search?viewData= G/TBT/N/BDI/224/Add.2, G/TBT/N/KEN/1233/Add.2, G/TBT/N/RWA/650/Add.2, G/TBT/N/TZA/725/Add.2, G/TBT/N/UGA/1557/Add.2"," G/TBT/N/BDI/224/Add.2, G/TBT/N/KEN/1233/Add.2, G/TBT/N/RWA/650/Add.2, G/TBT/N/TZA/725/Add.2, G/TBT/N/UGA/1557/Add.2")</f>
        <v xml:space="preserve"> G/TBT/N/BDI/224/Add.2, G/TBT/N/KEN/1233/Add.2, G/TBT/N/RWA/650/Add.2, G/TBT/N/TZA/725/Add.2, G/TBT/N/UGA/1557/Add.2</v>
      </c>
      <c r="D694" s="8" t="s">
        <v>3099</v>
      </c>
      <c r="E694" s="8" t="s">
        <v>3100</v>
      </c>
      <c r="F694" s="8" t="s">
        <v>2819</v>
      </c>
      <c r="G694" s="8" t="s">
        <v>43</v>
      </c>
      <c r="H694" s="8" t="s">
        <v>2821</v>
      </c>
      <c r="I694" s="8" t="s">
        <v>2846</v>
      </c>
      <c r="J694" s="8" t="s">
        <v>43</v>
      </c>
      <c r="K694" s="8" t="s">
        <v>1029</v>
      </c>
      <c r="L694" s="6"/>
      <c r="M694" s="7" t="s">
        <v>43</v>
      </c>
      <c r="N694" s="7"/>
      <c r="O694" s="7"/>
      <c r="P694" s="6" t="s">
        <v>44</v>
      </c>
      <c r="Q694" s="6"/>
      <c r="R694" t="str">
        <f>HYPERLINK("https://docs.wto.org/imrd/directdoc.asp?DDFDocuments/t/G/TBTN22/BDI224A2.docx", "https://docs.wto.org/imrd/directdoc.asp?DDFDocuments/t/G/TBTN22/BDI224A2.docx")</f>
        <v>https://docs.wto.org/imrd/directdoc.asp?DDFDocuments/t/G/TBTN22/BDI224A2.docx</v>
      </c>
      <c r="S694" t="str">
        <f>HYPERLINK("https://docs.wto.org/imrd/directdoc.asp?DDFDocuments/u/G/TBTN22/BDI224A2.docx", "https://docs.wto.org/imrd/directdoc.asp?DDFDocuments/u/G/TBTN22/BDI224A2.docx")</f>
        <v>https://docs.wto.org/imrd/directdoc.asp?DDFDocuments/u/G/TBTN22/BDI224A2.docx</v>
      </c>
      <c r="T694" t="str">
        <f>HYPERLINK("https://docs.wto.org/imrd/directdoc.asp?DDFDocuments/v/G/TBTN22/BDI224A2.docx", "https://docs.wto.org/imrd/directdoc.asp?DDFDocuments/v/G/TBTN22/BDI224A2.docx")</f>
        <v>https://docs.wto.org/imrd/directdoc.asp?DDFDocuments/v/G/TBTN22/BDI224A2.docx</v>
      </c>
      <c r="U694" t="s">
        <v>64</v>
      </c>
      <c r="V694" t="s">
        <v>46</v>
      </c>
      <c r="W694" t="s">
        <v>46</v>
      </c>
      <c r="X694" t="s">
        <v>46</v>
      </c>
      <c r="Y694" t="s">
        <v>46</v>
      </c>
      <c r="Z694" t="s">
        <v>46</v>
      </c>
      <c r="AA694" t="s">
        <v>46</v>
      </c>
      <c r="AB694" s="2" t="s">
        <v>43</v>
      </c>
      <c r="AC694" t="s">
        <v>43</v>
      </c>
      <c r="AD694" t="s">
        <v>43</v>
      </c>
      <c r="AE694" t="s">
        <v>43</v>
      </c>
      <c r="AF694" t="s">
        <v>43</v>
      </c>
      <c r="AG694" t="s">
        <v>43</v>
      </c>
      <c r="AH694" s="2" t="s">
        <v>43</v>
      </c>
    </row>
    <row r="695" spans="1:34" ht="90">
      <c r="A695" s="6" t="s">
        <v>108</v>
      </c>
      <c r="B695" s="7">
        <v>46059</v>
      </c>
      <c r="C695" s="9" t="str">
        <f>HYPERLINK("https://eping.wto.org/en/Search?viewData= G/TBT/N/BDI/224/Add.2, G/TBT/N/KEN/1233/Add.2, G/TBT/N/RWA/650/Add.2, G/TBT/N/TZA/725/Add.2, G/TBT/N/UGA/1557/Add.2"," G/TBT/N/BDI/224/Add.2, G/TBT/N/KEN/1233/Add.2, G/TBT/N/RWA/650/Add.2, G/TBT/N/TZA/725/Add.2, G/TBT/N/UGA/1557/Add.2")</f>
        <v xml:space="preserve"> G/TBT/N/BDI/224/Add.2, G/TBT/N/KEN/1233/Add.2, G/TBT/N/RWA/650/Add.2, G/TBT/N/TZA/725/Add.2, G/TBT/N/UGA/1557/Add.2</v>
      </c>
      <c r="D695" s="8" t="s">
        <v>3099</v>
      </c>
      <c r="E695" s="8" t="s">
        <v>3100</v>
      </c>
      <c r="F695" s="8" t="s">
        <v>2819</v>
      </c>
      <c r="G695" s="8" t="s">
        <v>43</v>
      </c>
      <c r="H695" s="8" t="s">
        <v>2821</v>
      </c>
      <c r="I695" s="8" t="s">
        <v>2846</v>
      </c>
      <c r="J695" s="8" t="s">
        <v>43</v>
      </c>
      <c r="K695" s="8" t="s">
        <v>1029</v>
      </c>
      <c r="L695" s="6"/>
      <c r="M695" s="7" t="s">
        <v>43</v>
      </c>
      <c r="N695" s="7"/>
      <c r="O695" s="7"/>
      <c r="P695" s="6" t="s">
        <v>44</v>
      </c>
      <c r="Q695" s="6"/>
      <c r="R695" t="str">
        <f>HYPERLINK("https://docs.wto.org/imrd/directdoc.asp?DDFDocuments/t/G/TBTN22/BDI224A2.docx", "https://docs.wto.org/imrd/directdoc.asp?DDFDocuments/t/G/TBTN22/BDI224A2.docx")</f>
        <v>https://docs.wto.org/imrd/directdoc.asp?DDFDocuments/t/G/TBTN22/BDI224A2.docx</v>
      </c>
      <c r="S695" t="str">
        <f>HYPERLINK("https://docs.wto.org/imrd/directdoc.asp?DDFDocuments/u/G/TBTN22/BDI224A2.docx", "https://docs.wto.org/imrd/directdoc.asp?DDFDocuments/u/G/TBTN22/BDI224A2.docx")</f>
        <v>https://docs.wto.org/imrd/directdoc.asp?DDFDocuments/u/G/TBTN22/BDI224A2.docx</v>
      </c>
      <c r="T695" t="str">
        <f>HYPERLINK("https://docs.wto.org/imrd/directdoc.asp?DDFDocuments/v/G/TBTN22/BDI224A2.docx", "https://docs.wto.org/imrd/directdoc.asp?DDFDocuments/v/G/TBTN22/BDI224A2.docx")</f>
        <v>https://docs.wto.org/imrd/directdoc.asp?DDFDocuments/v/G/TBTN22/BDI224A2.docx</v>
      </c>
      <c r="U695" t="s">
        <v>64</v>
      </c>
      <c r="V695" t="s">
        <v>46</v>
      </c>
      <c r="W695" t="s">
        <v>46</v>
      </c>
      <c r="X695" t="s">
        <v>46</v>
      </c>
      <c r="Y695" t="s">
        <v>46</v>
      </c>
      <c r="Z695" t="s">
        <v>46</v>
      </c>
      <c r="AA695" t="s">
        <v>46</v>
      </c>
      <c r="AB695" s="2" t="s">
        <v>43</v>
      </c>
      <c r="AC695" t="s">
        <v>43</v>
      </c>
      <c r="AD695" t="s">
        <v>43</v>
      </c>
      <c r="AE695" t="s">
        <v>43</v>
      </c>
      <c r="AF695" t="s">
        <v>43</v>
      </c>
      <c r="AG695" t="s">
        <v>43</v>
      </c>
      <c r="AH695" s="2" t="s">
        <v>43</v>
      </c>
    </row>
    <row r="696" spans="1:34" ht="165">
      <c r="A696" s="6" t="s">
        <v>100</v>
      </c>
      <c r="B696" s="7">
        <v>46059</v>
      </c>
      <c r="C696" s="9" t="str">
        <f>HYPERLINK("https://eping.wto.org/en/Search?viewData= G/SPS/N/THA/756/Add.1"," G/SPS/N/THA/756/Add.1")</f>
        <v xml:space="preserve"> G/SPS/N/THA/756/Add.1</v>
      </c>
      <c r="D696" s="8" t="s">
        <v>3101</v>
      </c>
      <c r="E696" s="8" t="s">
        <v>3102</v>
      </c>
      <c r="F696" s="8" t="s">
        <v>3103</v>
      </c>
      <c r="G696" s="8" t="s">
        <v>3104</v>
      </c>
      <c r="H696" s="8" t="s">
        <v>43</v>
      </c>
      <c r="I696" s="8" t="s">
        <v>104</v>
      </c>
      <c r="J696" s="8" t="s">
        <v>43</v>
      </c>
      <c r="K696" s="8" t="s">
        <v>3105</v>
      </c>
      <c r="L696" s="6"/>
      <c r="M696" s="7" t="s">
        <v>43</v>
      </c>
      <c r="N696" s="7"/>
      <c r="O696" s="7"/>
      <c r="P696" s="6" t="s">
        <v>72</v>
      </c>
      <c r="Q696" s="6"/>
      <c r="R696" t="str">
        <f>HYPERLINK("https://docs.wto.org/imrd/directdoc.asp?DDFDocuments/t/G/SPS/NTHA756A1.docx", "https://docs.wto.org/imrd/directdoc.asp?DDFDocuments/t/G/SPS/NTHA756A1.docx")</f>
        <v>https://docs.wto.org/imrd/directdoc.asp?DDFDocuments/t/G/SPS/NTHA756A1.docx</v>
      </c>
      <c r="S696" t="str">
        <f>HYPERLINK("https://docs.wto.org/imrd/directdoc.asp?DDFDocuments/u/G/SPS/NTHA756A1.docx", "https://docs.wto.org/imrd/directdoc.asp?DDFDocuments/u/G/SPS/NTHA756A1.docx")</f>
        <v>https://docs.wto.org/imrd/directdoc.asp?DDFDocuments/u/G/SPS/NTHA756A1.docx</v>
      </c>
      <c r="T696" t="str">
        <f>HYPERLINK("https://docs.wto.org/imrd/directdoc.asp?DDFDocuments/v/G/SPS/NTHA756A1.docx", "https://docs.wto.org/imrd/directdoc.asp?DDFDocuments/v/G/SPS/NTHA756A1.docx")</f>
        <v>https://docs.wto.org/imrd/directdoc.asp?DDFDocuments/v/G/SPS/NTHA756A1.docx</v>
      </c>
      <c r="U696" t="s">
        <v>43</v>
      </c>
      <c r="V696" t="s">
        <v>43</v>
      </c>
      <c r="W696" t="s">
        <v>43</v>
      </c>
      <c r="X696" t="s">
        <v>43</v>
      </c>
      <c r="Y696" t="s">
        <v>43</v>
      </c>
      <c r="Z696" t="s">
        <v>43</v>
      </c>
      <c r="AA696" t="s">
        <v>43</v>
      </c>
      <c r="AB696" s="2" t="s">
        <v>43</v>
      </c>
      <c r="AC696" t="s">
        <v>43</v>
      </c>
      <c r="AD696" t="s">
        <v>43</v>
      </c>
      <c r="AE696" t="s">
        <v>43</v>
      </c>
      <c r="AF696" t="s">
        <v>43</v>
      </c>
      <c r="AG696" t="s">
        <v>43</v>
      </c>
      <c r="AH696" s="2" t="s">
        <v>43</v>
      </c>
    </row>
    <row r="697" spans="1:34" ht="60">
      <c r="A697" s="6" t="s">
        <v>390</v>
      </c>
      <c r="B697" s="7">
        <v>46059</v>
      </c>
      <c r="C697" s="9" t="str">
        <f>HYPERLINK("https://eping.wto.org/en/Search?viewData= G/SPS/N/BDI/13/Add.2, G/SPS/N/KEN/165/Add.2, G/SPS/N/RWA/6/Add.2, G/SPS/N/TZA/197/Add.2, G/SPS/N/UGA/207/Add.2"," G/SPS/N/BDI/13/Add.2, G/SPS/N/KEN/165/Add.2, G/SPS/N/RWA/6/Add.2, G/SPS/N/TZA/197/Add.2, G/SPS/N/UGA/207/Add.2")</f>
        <v xml:space="preserve"> G/SPS/N/BDI/13/Add.2, G/SPS/N/KEN/165/Add.2, G/SPS/N/RWA/6/Add.2, G/SPS/N/TZA/197/Add.2, G/SPS/N/UGA/207/Add.2</v>
      </c>
      <c r="D697" s="8" t="s">
        <v>3106</v>
      </c>
      <c r="E697" s="8" t="s">
        <v>3107</v>
      </c>
      <c r="F697" s="8" t="s">
        <v>3108</v>
      </c>
      <c r="G697" s="8" t="s">
        <v>2885</v>
      </c>
      <c r="H697" s="8" t="s">
        <v>2826</v>
      </c>
      <c r="I697" s="8" t="s">
        <v>58</v>
      </c>
      <c r="J697" s="8" t="s">
        <v>43</v>
      </c>
      <c r="K697" s="8" t="s">
        <v>2910</v>
      </c>
      <c r="L697" s="6"/>
      <c r="M697" s="7" t="s">
        <v>43</v>
      </c>
      <c r="N697" s="7"/>
      <c r="O697" s="7"/>
      <c r="P697" s="6" t="s">
        <v>44</v>
      </c>
      <c r="Q697" s="6"/>
      <c r="R697" t="str">
        <f>HYPERLINK("https://docs.wto.org/imrd/directdoc.asp?DDFDocuments/t/G/SPS/NBDI13A2.docx", "https://docs.wto.org/imrd/directdoc.asp?DDFDocuments/t/G/SPS/NBDI13A2.docx")</f>
        <v>https://docs.wto.org/imrd/directdoc.asp?DDFDocuments/t/G/SPS/NBDI13A2.docx</v>
      </c>
      <c r="S697" t="str">
        <f>HYPERLINK("https://docs.wto.org/imrd/directdoc.asp?DDFDocuments/u/G/SPS/NBDI13A2.docx", "https://docs.wto.org/imrd/directdoc.asp?DDFDocuments/u/G/SPS/NBDI13A2.docx")</f>
        <v>https://docs.wto.org/imrd/directdoc.asp?DDFDocuments/u/G/SPS/NBDI13A2.docx</v>
      </c>
      <c r="T697" t="str">
        <f>HYPERLINK("https://docs.wto.org/imrd/directdoc.asp?DDFDocuments/v/G/SPS/NBDI13A2.docx", "https://docs.wto.org/imrd/directdoc.asp?DDFDocuments/v/G/SPS/NBDI13A2.docx")</f>
        <v>https://docs.wto.org/imrd/directdoc.asp?DDFDocuments/v/G/SPS/NBDI13A2.docx</v>
      </c>
      <c r="U697" t="s">
        <v>43</v>
      </c>
      <c r="V697" t="s">
        <v>43</v>
      </c>
      <c r="W697" t="s">
        <v>43</v>
      </c>
      <c r="X697" t="s">
        <v>43</v>
      </c>
      <c r="Y697" t="s">
        <v>43</v>
      </c>
      <c r="Z697" t="s">
        <v>43</v>
      </c>
      <c r="AA697" t="s">
        <v>43</v>
      </c>
      <c r="AB697" s="2" t="s">
        <v>43</v>
      </c>
      <c r="AC697" t="s">
        <v>43</v>
      </c>
      <c r="AD697" t="s">
        <v>43</v>
      </c>
      <c r="AE697" t="s">
        <v>43</v>
      </c>
      <c r="AF697" t="s">
        <v>43</v>
      </c>
      <c r="AG697" t="s">
        <v>43</v>
      </c>
      <c r="AH697" s="2" t="s">
        <v>43</v>
      </c>
    </row>
    <row r="698" spans="1:34" ht="60">
      <c r="A698" s="6" t="s">
        <v>124</v>
      </c>
      <c r="B698" s="7">
        <v>46059</v>
      </c>
      <c r="C698" s="9" t="str">
        <f>HYPERLINK("https://eping.wto.org/en/Search?viewData= G/SPS/N/BDI/14/Add.2, G/SPS/N/KEN/166/Add.2, G/SPS/N/RWA/7/Add.2, G/SPS/N/TZA/198/Add.2, G/SPS/N/UGA/208/Add.2"," G/SPS/N/BDI/14/Add.2, G/SPS/N/KEN/166/Add.2, G/SPS/N/RWA/7/Add.2, G/SPS/N/TZA/198/Add.2, G/SPS/N/UGA/208/Add.2")</f>
        <v xml:space="preserve"> G/SPS/N/BDI/14/Add.2, G/SPS/N/KEN/166/Add.2, G/SPS/N/RWA/7/Add.2, G/SPS/N/TZA/198/Add.2, G/SPS/N/UGA/208/Add.2</v>
      </c>
      <c r="D698" s="8" t="s">
        <v>3109</v>
      </c>
      <c r="E698" s="8" t="s">
        <v>3110</v>
      </c>
      <c r="F698" s="8" t="s">
        <v>3111</v>
      </c>
      <c r="G698" s="8" t="s">
        <v>3112</v>
      </c>
      <c r="H698" s="8" t="s">
        <v>2826</v>
      </c>
      <c r="I698" s="8" t="s">
        <v>58</v>
      </c>
      <c r="J698" s="8" t="s">
        <v>43</v>
      </c>
      <c r="K698" s="8" t="s">
        <v>3113</v>
      </c>
      <c r="L698" s="6"/>
      <c r="M698" s="7" t="s">
        <v>43</v>
      </c>
      <c r="N698" s="7"/>
      <c r="O698" s="7"/>
      <c r="P698" s="6" t="s">
        <v>44</v>
      </c>
      <c r="Q698" s="6"/>
      <c r="R698" t="str">
        <f>HYPERLINK("https://docs.wto.org/imrd/directdoc.asp?DDFDocuments/t/G/SPS/NBDI14A2.docx", "https://docs.wto.org/imrd/directdoc.asp?DDFDocuments/t/G/SPS/NBDI14A2.docx")</f>
        <v>https://docs.wto.org/imrd/directdoc.asp?DDFDocuments/t/G/SPS/NBDI14A2.docx</v>
      </c>
      <c r="S698" t="str">
        <f>HYPERLINK("https://docs.wto.org/imrd/directdoc.asp?DDFDocuments/u/G/SPS/NBDI14A2.docx", "https://docs.wto.org/imrd/directdoc.asp?DDFDocuments/u/G/SPS/NBDI14A2.docx")</f>
        <v>https://docs.wto.org/imrd/directdoc.asp?DDFDocuments/u/G/SPS/NBDI14A2.docx</v>
      </c>
      <c r="T698" t="str">
        <f>HYPERLINK("https://docs.wto.org/imrd/directdoc.asp?DDFDocuments/v/G/SPS/NBDI14A2.docx", "https://docs.wto.org/imrd/directdoc.asp?DDFDocuments/v/G/SPS/NBDI14A2.docx")</f>
        <v>https://docs.wto.org/imrd/directdoc.asp?DDFDocuments/v/G/SPS/NBDI14A2.docx</v>
      </c>
      <c r="U698" t="s">
        <v>43</v>
      </c>
      <c r="V698" t="s">
        <v>43</v>
      </c>
      <c r="W698" t="s">
        <v>43</v>
      </c>
      <c r="X698" t="s">
        <v>43</v>
      </c>
      <c r="Y698" t="s">
        <v>43</v>
      </c>
      <c r="Z698" t="s">
        <v>43</v>
      </c>
      <c r="AA698" t="s">
        <v>43</v>
      </c>
      <c r="AB698" s="2" t="s">
        <v>43</v>
      </c>
      <c r="AC698" t="s">
        <v>43</v>
      </c>
      <c r="AD698" t="s">
        <v>43</v>
      </c>
      <c r="AE698" t="s">
        <v>43</v>
      </c>
      <c r="AF698" t="s">
        <v>43</v>
      </c>
      <c r="AG698" t="s">
        <v>43</v>
      </c>
      <c r="AH698" s="2" t="s">
        <v>43</v>
      </c>
    </row>
    <row r="699" spans="1:34" ht="60">
      <c r="A699" s="6" t="s">
        <v>577</v>
      </c>
      <c r="B699" s="7">
        <v>46059</v>
      </c>
      <c r="C699" s="9" t="str">
        <f>HYPERLINK("https://eping.wto.org/en/Search?viewData= G/TBT/N/BDI/243/Add.4, G/TBT/N/KEN/1262/Add.4, G/TBT/N/RWA/673/Add.4, G/TBT/N/TZA/783/Add.4, G/TBT/N/UGA/1597/Add.4"," G/TBT/N/BDI/243/Add.4, G/TBT/N/KEN/1262/Add.4, G/TBT/N/RWA/673/Add.4, G/TBT/N/TZA/783/Add.4, G/TBT/N/UGA/1597/Add.4")</f>
        <v xml:space="preserve"> G/TBT/N/BDI/243/Add.4, G/TBT/N/KEN/1262/Add.4, G/TBT/N/RWA/673/Add.4, G/TBT/N/TZA/783/Add.4, G/TBT/N/UGA/1597/Add.4</v>
      </c>
      <c r="D699" s="8" t="s">
        <v>3068</v>
      </c>
      <c r="E699" s="8" t="s">
        <v>3069</v>
      </c>
      <c r="F699" s="8" t="s">
        <v>3070</v>
      </c>
      <c r="G699" s="8" t="s">
        <v>3071</v>
      </c>
      <c r="H699" s="8" t="s">
        <v>3072</v>
      </c>
      <c r="I699" s="8" t="s">
        <v>3092</v>
      </c>
      <c r="J699" s="8"/>
      <c r="K699" s="8" t="s">
        <v>3074</v>
      </c>
      <c r="L699" s="6"/>
      <c r="M699" s="7" t="s">
        <v>43</v>
      </c>
      <c r="N699" s="7"/>
      <c r="O699" s="7"/>
      <c r="P699" s="6" t="s">
        <v>44</v>
      </c>
      <c r="Q699" s="6"/>
      <c r="R699" t="str">
        <f>HYPERLINK("https://docs.wto.org/imrd/directdoc.asp?DDFDocuments/t/G/TBTN22/BDI243A4.docx", "https://docs.wto.org/imrd/directdoc.asp?DDFDocuments/t/G/TBTN22/BDI243A4.docx")</f>
        <v>https://docs.wto.org/imrd/directdoc.asp?DDFDocuments/t/G/TBTN22/BDI243A4.docx</v>
      </c>
      <c r="S699" t="str">
        <f>HYPERLINK("https://docs.wto.org/imrd/directdoc.asp?DDFDocuments/u/G/TBTN22/BDI243A4.docx", "https://docs.wto.org/imrd/directdoc.asp?DDFDocuments/u/G/TBTN22/BDI243A4.docx")</f>
        <v>https://docs.wto.org/imrd/directdoc.asp?DDFDocuments/u/G/TBTN22/BDI243A4.docx</v>
      </c>
      <c r="T699" t="str">
        <f>HYPERLINK("https://docs.wto.org/imrd/directdoc.asp?DDFDocuments/v/G/TBTN22/BDI243A4.docx", "https://docs.wto.org/imrd/directdoc.asp?DDFDocuments/v/G/TBTN22/BDI243A4.docx")</f>
        <v>https://docs.wto.org/imrd/directdoc.asp?DDFDocuments/v/G/TBTN22/BDI243A4.docx</v>
      </c>
      <c r="U699" t="s">
        <v>64</v>
      </c>
      <c r="V699" t="s">
        <v>46</v>
      </c>
      <c r="W699" t="s">
        <v>46</v>
      </c>
      <c r="X699" t="s">
        <v>46</v>
      </c>
      <c r="Y699" t="s">
        <v>46</v>
      </c>
      <c r="Z699" t="s">
        <v>46</v>
      </c>
      <c r="AA699" t="s">
        <v>46</v>
      </c>
      <c r="AB699" s="2" t="s">
        <v>43</v>
      </c>
      <c r="AC699" t="s">
        <v>43</v>
      </c>
      <c r="AD699" t="s">
        <v>43</v>
      </c>
      <c r="AE699" t="s">
        <v>43</v>
      </c>
      <c r="AF699" t="s">
        <v>43</v>
      </c>
      <c r="AG699" t="s">
        <v>43</v>
      </c>
      <c r="AH699" s="2" t="s">
        <v>43</v>
      </c>
    </row>
    <row r="700" spans="1:34" ht="90">
      <c r="A700" s="6" t="s">
        <v>124</v>
      </c>
      <c r="B700" s="7">
        <v>46059</v>
      </c>
      <c r="C700" s="9" t="str">
        <f>HYPERLINK("https://eping.wto.org/en/Search?viewData= G/TBT/N/BDI/223/Add.2, G/TBT/N/KEN/1232/Add.2, G/TBT/N/RWA/649/Add.2, G/TBT/N/TZA/724/Add.2, G/TBT/N/UGA/1556/Add.2"," G/TBT/N/BDI/223/Add.2, G/TBT/N/KEN/1232/Add.2, G/TBT/N/RWA/649/Add.2, G/TBT/N/TZA/724/Add.2, G/TBT/N/UGA/1556/Add.2")</f>
        <v xml:space="preserve"> G/TBT/N/BDI/223/Add.2, G/TBT/N/KEN/1232/Add.2, G/TBT/N/RWA/649/Add.2, G/TBT/N/TZA/724/Add.2, G/TBT/N/UGA/1556/Add.2</v>
      </c>
      <c r="D700" s="8" t="s">
        <v>3097</v>
      </c>
      <c r="E700" s="8" t="s">
        <v>3098</v>
      </c>
      <c r="F700" s="8" t="s">
        <v>2819</v>
      </c>
      <c r="G700" s="8" t="s">
        <v>43</v>
      </c>
      <c r="H700" s="8" t="s">
        <v>2821</v>
      </c>
      <c r="I700" s="8" t="s">
        <v>2846</v>
      </c>
      <c r="J700" s="8" t="s">
        <v>43</v>
      </c>
      <c r="K700" s="8" t="s">
        <v>1029</v>
      </c>
      <c r="L700" s="6"/>
      <c r="M700" s="7" t="s">
        <v>43</v>
      </c>
      <c r="N700" s="7"/>
      <c r="O700" s="7"/>
      <c r="P700" s="6" t="s">
        <v>44</v>
      </c>
      <c r="Q700" s="6"/>
      <c r="R700" t="str">
        <f>HYPERLINK("https://docs.wto.org/imrd/directdoc.asp?DDFDocuments/t/G/TBTN22/BDI223A2.docx", "https://docs.wto.org/imrd/directdoc.asp?DDFDocuments/t/G/TBTN22/BDI223A2.docx")</f>
        <v>https://docs.wto.org/imrd/directdoc.asp?DDFDocuments/t/G/TBTN22/BDI223A2.docx</v>
      </c>
      <c r="S700" t="str">
        <f>HYPERLINK("https://docs.wto.org/imrd/directdoc.asp?DDFDocuments/u/G/TBTN22/BDI223A2.docx", "https://docs.wto.org/imrd/directdoc.asp?DDFDocuments/u/G/TBTN22/BDI223A2.docx")</f>
        <v>https://docs.wto.org/imrd/directdoc.asp?DDFDocuments/u/G/TBTN22/BDI223A2.docx</v>
      </c>
      <c r="T700" t="str">
        <f>HYPERLINK("https://docs.wto.org/imrd/directdoc.asp?DDFDocuments/v/G/TBTN22/BDI223A2.docx", "https://docs.wto.org/imrd/directdoc.asp?DDFDocuments/v/G/TBTN22/BDI223A2.docx")</f>
        <v>https://docs.wto.org/imrd/directdoc.asp?DDFDocuments/v/G/TBTN22/BDI223A2.docx</v>
      </c>
      <c r="U700" t="s">
        <v>64</v>
      </c>
      <c r="V700" t="s">
        <v>46</v>
      </c>
      <c r="W700" t="s">
        <v>46</v>
      </c>
      <c r="X700" t="s">
        <v>46</v>
      </c>
      <c r="Y700" t="s">
        <v>46</v>
      </c>
      <c r="Z700" t="s">
        <v>46</v>
      </c>
      <c r="AA700" t="s">
        <v>46</v>
      </c>
      <c r="AB700" s="2" t="s">
        <v>43</v>
      </c>
      <c r="AC700" t="s">
        <v>43</v>
      </c>
      <c r="AD700" t="s">
        <v>43</v>
      </c>
      <c r="AE700" t="s">
        <v>43</v>
      </c>
      <c r="AF700" t="s">
        <v>43</v>
      </c>
      <c r="AG700" t="s">
        <v>43</v>
      </c>
      <c r="AH700" s="2" t="s">
        <v>43</v>
      </c>
    </row>
    <row r="701" spans="1:34" ht="90">
      <c r="A701" s="6" t="s">
        <v>509</v>
      </c>
      <c r="B701" s="7">
        <v>46059</v>
      </c>
      <c r="C701" s="9" t="str">
        <f>HYPERLINK("https://eping.wto.org/en/Search?viewData= G/TBT/N/BDI/224/Add.2, G/TBT/N/KEN/1233/Add.2, G/TBT/N/RWA/650/Add.2, G/TBT/N/TZA/725/Add.2, G/TBT/N/UGA/1557/Add.2"," G/TBT/N/BDI/224/Add.2, G/TBT/N/KEN/1233/Add.2, G/TBT/N/RWA/650/Add.2, G/TBT/N/TZA/725/Add.2, G/TBT/N/UGA/1557/Add.2")</f>
        <v xml:space="preserve"> G/TBT/N/BDI/224/Add.2, G/TBT/N/KEN/1233/Add.2, G/TBT/N/RWA/650/Add.2, G/TBT/N/TZA/725/Add.2, G/TBT/N/UGA/1557/Add.2</v>
      </c>
      <c r="D701" s="8" t="s">
        <v>3099</v>
      </c>
      <c r="E701" s="8" t="s">
        <v>3100</v>
      </c>
      <c r="F701" s="8" t="s">
        <v>2819</v>
      </c>
      <c r="G701" s="8" t="s">
        <v>43</v>
      </c>
      <c r="H701" s="8" t="s">
        <v>2821</v>
      </c>
      <c r="I701" s="8" t="s">
        <v>2846</v>
      </c>
      <c r="J701" s="8" t="s">
        <v>43</v>
      </c>
      <c r="K701" s="8" t="s">
        <v>1029</v>
      </c>
      <c r="L701" s="6"/>
      <c r="M701" s="7" t="s">
        <v>43</v>
      </c>
      <c r="N701" s="7"/>
      <c r="O701" s="7"/>
      <c r="P701" s="6" t="s">
        <v>44</v>
      </c>
      <c r="Q701" s="6"/>
      <c r="R701" t="str">
        <f>HYPERLINK("https://docs.wto.org/imrd/directdoc.asp?DDFDocuments/t/G/TBTN22/BDI224A2.docx", "https://docs.wto.org/imrd/directdoc.asp?DDFDocuments/t/G/TBTN22/BDI224A2.docx")</f>
        <v>https://docs.wto.org/imrd/directdoc.asp?DDFDocuments/t/G/TBTN22/BDI224A2.docx</v>
      </c>
      <c r="S701" t="str">
        <f>HYPERLINK("https://docs.wto.org/imrd/directdoc.asp?DDFDocuments/u/G/TBTN22/BDI224A2.docx", "https://docs.wto.org/imrd/directdoc.asp?DDFDocuments/u/G/TBTN22/BDI224A2.docx")</f>
        <v>https://docs.wto.org/imrd/directdoc.asp?DDFDocuments/u/G/TBTN22/BDI224A2.docx</v>
      </c>
      <c r="T701" t="str">
        <f>HYPERLINK("https://docs.wto.org/imrd/directdoc.asp?DDFDocuments/v/G/TBTN22/BDI224A2.docx", "https://docs.wto.org/imrd/directdoc.asp?DDFDocuments/v/G/TBTN22/BDI224A2.docx")</f>
        <v>https://docs.wto.org/imrd/directdoc.asp?DDFDocuments/v/G/TBTN22/BDI224A2.docx</v>
      </c>
      <c r="U701" t="s">
        <v>64</v>
      </c>
      <c r="V701" t="s">
        <v>46</v>
      </c>
      <c r="W701" t="s">
        <v>46</v>
      </c>
      <c r="X701" t="s">
        <v>46</v>
      </c>
      <c r="Y701" t="s">
        <v>46</v>
      </c>
      <c r="Z701" t="s">
        <v>46</v>
      </c>
      <c r="AA701" t="s">
        <v>46</v>
      </c>
      <c r="AB701" s="2" t="s">
        <v>43</v>
      </c>
      <c r="AC701" t="s">
        <v>43</v>
      </c>
      <c r="AD701" t="s">
        <v>43</v>
      </c>
      <c r="AE701" t="s">
        <v>43</v>
      </c>
      <c r="AF701" t="s">
        <v>43</v>
      </c>
      <c r="AG701" t="s">
        <v>43</v>
      </c>
      <c r="AH701" s="2" t="s">
        <v>43</v>
      </c>
    </row>
    <row r="702" spans="1:34" ht="60">
      <c r="A702" s="6" t="s">
        <v>390</v>
      </c>
      <c r="B702" s="7">
        <v>46059</v>
      </c>
      <c r="C702" s="9" t="str">
        <f>HYPERLINK("https://eping.wto.org/en/Search?viewData= G/TBT/N/BDI/220/Add.2, G/TBT/N/KEN/1229/Add.2, G/TBT/N/RWA/646/Add.2, G/TBT/N/TZA/721/Add.2, G/TBT/N/UGA/1553/Add.2"," G/TBT/N/BDI/220/Add.2, G/TBT/N/KEN/1229/Add.2, G/TBT/N/RWA/646/Add.2, G/TBT/N/TZA/721/Add.2, G/TBT/N/UGA/1553/Add.2")</f>
        <v xml:space="preserve"> G/TBT/N/BDI/220/Add.2, G/TBT/N/KEN/1229/Add.2, G/TBT/N/RWA/646/Add.2, G/TBT/N/TZA/721/Add.2, G/TBT/N/UGA/1553/Add.2</v>
      </c>
      <c r="D702" s="8" t="s">
        <v>3114</v>
      </c>
      <c r="E702" s="8" t="s">
        <v>3115</v>
      </c>
      <c r="F702" s="8" t="s">
        <v>2819</v>
      </c>
      <c r="G702" s="8" t="s">
        <v>43</v>
      </c>
      <c r="H702" s="8" t="s">
        <v>2821</v>
      </c>
      <c r="I702" s="8" t="s">
        <v>2838</v>
      </c>
      <c r="J702" s="8" t="s">
        <v>43</v>
      </c>
      <c r="K702" s="8" t="s">
        <v>1029</v>
      </c>
      <c r="L702" s="6"/>
      <c r="M702" s="7" t="s">
        <v>43</v>
      </c>
      <c r="N702" s="7"/>
      <c r="O702" s="7"/>
      <c r="P702" s="6" t="s">
        <v>44</v>
      </c>
      <c r="Q702" s="6"/>
      <c r="R702" t="str">
        <f>HYPERLINK("https://docs.wto.org/imrd/directdoc.asp?DDFDocuments/t/G/TBTN22/BDI220A2.docx", "https://docs.wto.org/imrd/directdoc.asp?DDFDocuments/t/G/TBTN22/BDI220A2.docx")</f>
        <v>https://docs.wto.org/imrd/directdoc.asp?DDFDocuments/t/G/TBTN22/BDI220A2.docx</v>
      </c>
      <c r="S702" t="str">
        <f>HYPERLINK("https://docs.wto.org/imrd/directdoc.asp?DDFDocuments/u/G/TBTN22/BDI220A2.docx", "https://docs.wto.org/imrd/directdoc.asp?DDFDocuments/u/G/TBTN22/BDI220A2.docx")</f>
        <v>https://docs.wto.org/imrd/directdoc.asp?DDFDocuments/u/G/TBTN22/BDI220A2.docx</v>
      </c>
      <c r="T702" t="str">
        <f>HYPERLINK("https://docs.wto.org/imrd/directdoc.asp?DDFDocuments/v/G/TBTN22/BDI220A2.docx", "https://docs.wto.org/imrd/directdoc.asp?DDFDocuments/v/G/TBTN22/BDI220A2.docx")</f>
        <v>https://docs.wto.org/imrd/directdoc.asp?DDFDocuments/v/G/TBTN22/BDI220A2.docx</v>
      </c>
      <c r="U702" t="s">
        <v>64</v>
      </c>
      <c r="V702" t="s">
        <v>46</v>
      </c>
      <c r="W702" t="s">
        <v>46</v>
      </c>
      <c r="X702" t="s">
        <v>46</v>
      </c>
      <c r="Y702" t="s">
        <v>46</v>
      </c>
      <c r="Z702" t="s">
        <v>46</v>
      </c>
      <c r="AA702" t="s">
        <v>46</v>
      </c>
      <c r="AB702" s="2" t="s">
        <v>43</v>
      </c>
      <c r="AC702" t="s">
        <v>43</v>
      </c>
      <c r="AD702" t="s">
        <v>43</v>
      </c>
      <c r="AE702" t="s">
        <v>43</v>
      </c>
      <c r="AF702" t="s">
        <v>43</v>
      </c>
      <c r="AG702" t="s">
        <v>43</v>
      </c>
      <c r="AH702" s="2" t="s">
        <v>43</v>
      </c>
    </row>
    <row r="703" spans="1:34" ht="105">
      <c r="A703" s="6" t="s">
        <v>158</v>
      </c>
      <c r="B703" s="7">
        <v>46059</v>
      </c>
      <c r="C703" s="9" t="str">
        <f>HYPERLINK("https://eping.wto.org/en/Search?viewData= G/TBT/N/UKR/352/Add.2"," G/TBT/N/UKR/352/Add.2")</f>
        <v xml:space="preserve"> G/TBT/N/UKR/352/Add.2</v>
      </c>
      <c r="D703" s="8" t="s">
        <v>3116</v>
      </c>
      <c r="E703" s="8" t="s">
        <v>3117</v>
      </c>
      <c r="F703" s="8" t="s">
        <v>3118</v>
      </c>
      <c r="G703" s="8" t="s">
        <v>3119</v>
      </c>
      <c r="H703" s="8" t="s">
        <v>3120</v>
      </c>
      <c r="I703" s="8" t="s">
        <v>2410</v>
      </c>
      <c r="J703" s="8" t="s">
        <v>43</v>
      </c>
      <c r="K703" s="8" t="s">
        <v>1029</v>
      </c>
      <c r="L703" s="6"/>
      <c r="M703" s="7" t="s">
        <v>43</v>
      </c>
      <c r="N703" s="7"/>
      <c r="O703" s="7"/>
      <c r="P703" s="6" t="s">
        <v>44</v>
      </c>
      <c r="Q703" s="8" t="s">
        <v>3121</v>
      </c>
      <c r="R703" t="str">
        <f>HYPERLINK("https://docs.wto.org/imrd/directdoc.asp?DDFDocuments/t/G/TBTN25/UKR352A2.docx", "https://docs.wto.org/imrd/directdoc.asp?DDFDocuments/t/G/TBTN25/UKR352A2.docx")</f>
        <v>https://docs.wto.org/imrd/directdoc.asp?DDFDocuments/t/G/TBTN25/UKR352A2.docx</v>
      </c>
      <c r="S703" t="str">
        <f>HYPERLINK("https://docs.wto.org/imrd/directdoc.asp?DDFDocuments/u/G/TBTN25/UKR352A2.docx", "https://docs.wto.org/imrd/directdoc.asp?DDFDocuments/u/G/TBTN25/UKR352A2.docx")</f>
        <v>https://docs.wto.org/imrd/directdoc.asp?DDFDocuments/u/G/TBTN25/UKR352A2.docx</v>
      </c>
      <c r="T703" t="str">
        <f>HYPERLINK("https://docs.wto.org/imrd/directdoc.asp?DDFDocuments/v/G/TBTN25/UKR352A2.docx", "https://docs.wto.org/imrd/directdoc.asp?DDFDocuments/v/G/TBTN25/UKR352A2.docx")</f>
        <v>https://docs.wto.org/imrd/directdoc.asp?DDFDocuments/v/G/TBTN25/UKR352A2.docx</v>
      </c>
      <c r="U703" t="s">
        <v>46</v>
      </c>
      <c r="V703" t="s">
        <v>46</v>
      </c>
      <c r="W703" t="s">
        <v>46</v>
      </c>
      <c r="X703" t="s">
        <v>46</v>
      </c>
      <c r="Y703" t="s">
        <v>46</v>
      </c>
      <c r="Z703" t="s">
        <v>46</v>
      </c>
      <c r="AA703" t="s">
        <v>46</v>
      </c>
      <c r="AB703" s="2" t="s">
        <v>43</v>
      </c>
      <c r="AC703" t="s">
        <v>43</v>
      </c>
      <c r="AD703" t="s">
        <v>43</v>
      </c>
      <c r="AE703" t="s">
        <v>43</v>
      </c>
      <c r="AF703" t="s">
        <v>43</v>
      </c>
      <c r="AG703" t="s">
        <v>43</v>
      </c>
      <c r="AH703" s="2" t="s">
        <v>43</v>
      </c>
    </row>
    <row r="704" spans="1:34" ht="60">
      <c r="A704" s="6" t="s">
        <v>509</v>
      </c>
      <c r="B704" s="7">
        <v>46059</v>
      </c>
      <c r="C704" s="9" t="str">
        <f>HYPERLINK("https://eping.wto.org/en/Search?viewData= G/SPS/N/BDI/9/Add.2, G/SPS/N/KEN/161/Add.2, G/SPS/N/RWA/2/Add.2, G/SPS/N/TZA/193/Add.2, G/SPS/N/UGA/203/Add.2"," G/SPS/N/BDI/9/Add.2, G/SPS/N/KEN/161/Add.2, G/SPS/N/RWA/2/Add.2, G/SPS/N/TZA/193/Add.2, G/SPS/N/UGA/203/Add.2")</f>
        <v xml:space="preserve"> G/SPS/N/BDI/9/Add.2, G/SPS/N/KEN/161/Add.2, G/SPS/N/RWA/2/Add.2, G/SPS/N/TZA/193/Add.2, G/SPS/N/UGA/203/Add.2</v>
      </c>
      <c r="D704" s="8" t="s">
        <v>3122</v>
      </c>
      <c r="E704" s="8" t="s">
        <v>3123</v>
      </c>
      <c r="F704" s="8" t="s">
        <v>3124</v>
      </c>
      <c r="G704" s="8" t="s">
        <v>3125</v>
      </c>
      <c r="H704" s="8" t="s">
        <v>2826</v>
      </c>
      <c r="I704" s="8" t="s">
        <v>58</v>
      </c>
      <c r="J704" s="8" t="s">
        <v>43</v>
      </c>
      <c r="K704" s="8" t="s">
        <v>2845</v>
      </c>
      <c r="L704" s="6"/>
      <c r="M704" s="7" t="s">
        <v>43</v>
      </c>
      <c r="N704" s="7"/>
      <c r="O704" s="7"/>
      <c r="P704" s="6" t="s">
        <v>44</v>
      </c>
      <c r="Q704" s="6"/>
      <c r="R704" t="str">
        <f>HYPERLINK("https://docs.wto.org/imrd/directdoc.asp?DDFDocuments/t/G/SPS/NBDI9A2.docx", "https://docs.wto.org/imrd/directdoc.asp?DDFDocuments/t/G/SPS/NBDI9A2.docx")</f>
        <v>https://docs.wto.org/imrd/directdoc.asp?DDFDocuments/t/G/SPS/NBDI9A2.docx</v>
      </c>
      <c r="S704" t="str">
        <f>HYPERLINK("https://docs.wto.org/imrd/directdoc.asp?DDFDocuments/u/G/SPS/NBDI9A2.docx", "https://docs.wto.org/imrd/directdoc.asp?DDFDocuments/u/G/SPS/NBDI9A2.docx")</f>
        <v>https://docs.wto.org/imrd/directdoc.asp?DDFDocuments/u/G/SPS/NBDI9A2.docx</v>
      </c>
      <c r="T704" t="str">
        <f>HYPERLINK("https://docs.wto.org/imrd/directdoc.asp?DDFDocuments/v/G/SPS/NBDI9A2.docx", "https://docs.wto.org/imrd/directdoc.asp?DDFDocuments/v/G/SPS/NBDI9A2.docx")</f>
        <v>https://docs.wto.org/imrd/directdoc.asp?DDFDocuments/v/G/SPS/NBDI9A2.docx</v>
      </c>
      <c r="U704" t="s">
        <v>43</v>
      </c>
      <c r="V704" t="s">
        <v>43</v>
      </c>
      <c r="W704" t="s">
        <v>43</v>
      </c>
      <c r="X704" t="s">
        <v>43</v>
      </c>
      <c r="Y704" t="s">
        <v>43</v>
      </c>
      <c r="Z704" t="s">
        <v>43</v>
      </c>
      <c r="AA704" t="s">
        <v>43</v>
      </c>
      <c r="AB704" s="2" t="s">
        <v>43</v>
      </c>
      <c r="AC704" t="s">
        <v>43</v>
      </c>
      <c r="AD704" t="s">
        <v>43</v>
      </c>
      <c r="AE704" t="s">
        <v>43</v>
      </c>
      <c r="AF704" t="s">
        <v>43</v>
      </c>
      <c r="AG704" t="s">
        <v>43</v>
      </c>
      <c r="AH704" s="2" t="s">
        <v>43</v>
      </c>
    </row>
    <row r="705" spans="1:34" ht="75">
      <c r="A705" s="6" t="s">
        <v>509</v>
      </c>
      <c r="B705" s="7">
        <v>46059</v>
      </c>
      <c r="C705" s="9" t="str">
        <f>HYPERLINK("https://eping.wto.org/en/Search?viewData= G/TBT/N/BDI/242/Add.3, G/TBT/N/KEN/1261/Add.3, G/TBT/N/RWA/672/Add.3, G/TBT/N/TZA/782/Add.3, G/TBT/N/UGA/1595/Add.3"," G/TBT/N/BDI/242/Add.3, G/TBT/N/KEN/1261/Add.3, G/TBT/N/RWA/672/Add.3, G/TBT/N/TZA/782/Add.3, G/TBT/N/UGA/1595/Add.3")</f>
        <v xml:space="preserve"> G/TBT/N/BDI/242/Add.3, G/TBT/N/KEN/1261/Add.3, G/TBT/N/RWA/672/Add.3, G/TBT/N/TZA/782/Add.3, G/TBT/N/UGA/1595/Add.3</v>
      </c>
      <c r="D705" s="8" t="s">
        <v>3075</v>
      </c>
      <c r="E705" s="8" t="s">
        <v>3076</v>
      </c>
      <c r="F705" s="8" t="s">
        <v>3077</v>
      </c>
      <c r="G705" s="8" t="s">
        <v>3078</v>
      </c>
      <c r="H705" s="8" t="s">
        <v>1959</v>
      </c>
      <c r="I705" s="8" t="s">
        <v>3093</v>
      </c>
      <c r="J705" s="8"/>
      <c r="K705" s="8" t="s">
        <v>3080</v>
      </c>
      <c r="L705" s="6"/>
      <c r="M705" s="7" t="s">
        <v>43</v>
      </c>
      <c r="N705" s="7"/>
      <c r="O705" s="7"/>
      <c r="P705" s="6" t="s">
        <v>44</v>
      </c>
      <c r="Q705" s="6"/>
      <c r="R705" t="str">
        <f>HYPERLINK("https://docs.wto.org/imrd/directdoc.asp?DDFDocuments/t/G/TBTN22/BDI242A3.docx", "https://docs.wto.org/imrd/directdoc.asp?DDFDocuments/t/G/TBTN22/BDI242A3.docx")</f>
        <v>https://docs.wto.org/imrd/directdoc.asp?DDFDocuments/t/G/TBTN22/BDI242A3.docx</v>
      </c>
      <c r="S705" t="str">
        <f>HYPERLINK("https://docs.wto.org/imrd/directdoc.asp?DDFDocuments/u/G/TBTN22/BDI242A3.docx", "https://docs.wto.org/imrd/directdoc.asp?DDFDocuments/u/G/TBTN22/BDI242A3.docx")</f>
        <v>https://docs.wto.org/imrd/directdoc.asp?DDFDocuments/u/G/TBTN22/BDI242A3.docx</v>
      </c>
      <c r="T705" t="str">
        <f>HYPERLINK("https://docs.wto.org/imrd/directdoc.asp?DDFDocuments/v/G/TBTN22/BDI242A3.docx", "https://docs.wto.org/imrd/directdoc.asp?DDFDocuments/v/G/TBTN22/BDI242A3.docx")</f>
        <v>https://docs.wto.org/imrd/directdoc.asp?DDFDocuments/v/G/TBTN22/BDI242A3.docx</v>
      </c>
      <c r="U705" t="s">
        <v>64</v>
      </c>
      <c r="V705" t="s">
        <v>46</v>
      </c>
      <c r="W705" t="s">
        <v>46</v>
      </c>
      <c r="X705" t="s">
        <v>46</v>
      </c>
      <c r="Y705" t="s">
        <v>46</v>
      </c>
      <c r="Z705" t="s">
        <v>46</v>
      </c>
      <c r="AA705" t="s">
        <v>46</v>
      </c>
      <c r="AB705" s="2" t="s">
        <v>43</v>
      </c>
      <c r="AC705" t="s">
        <v>43</v>
      </c>
      <c r="AD705" t="s">
        <v>43</v>
      </c>
      <c r="AE705" t="s">
        <v>43</v>
      </c>
      <c r="AF705" t="s">
        <v>43</v>
      </c>
      <c r="AG705" t="s">
        <v>43</v>
      </c>
      <c r="AH705" s="2" t="s">
        <v>43</v>
      </c>
    </row>
    <row r="706" spans="1:34" ht="60">
      <c r="A706" s="6" t="s">
        <v>577</v>
      </c>
      <c r="B706" s="7">
        <v>46059</v>
      </c>
      <c r="C706" s="9" t="str">
        <f>HYPERLINK("https://eping.wto.org/en/Search?viewData= G/TBT/N/BDI/241/Add.2, G/TBT/N/KEN/1260/Add.2, G/TBT/N/RWA/671/Add.2, G/TBT/N/TZA/781/Add.2, G/TBT/N/UGA/1594/Add.2"," G/TBT/N/BDI/241/Add.2, G/TBT/N/KEN/1260/Add.2, G/TBT/N/RWA/671/Add.2, G/TBT/N/TZA/781/Add.2, G/TBT/N/UGA/1594/Add.2")</f>
        <v xml:space="preserve"> G/TBT/N/BDI/241/Add.2, G/TBT/N/KEN/1260/Add.2, G/TBT/N/RWA/671/Add.2, G/TBT/N/TZA/781/Add.2, G/TBT/N/UGA/1594/Add.2</v>
      </c>
      <c r="D706" s="8" t="s">
        <v>3126</v>
      </c>
      <c r="E706" s="8" t="s">
        <v>3127</v>
      </c>
      <c r="F706" s="8" t="s">
        <v>3077</v>
      </c>
      <c r="G706" s="8" t="s">
        <v>3078</v>
      </c>
      <c r="H706" s="8" t="s">
        <v>1959</v>
      </c>
      <c r="I706" s="8" t="s">
        <v>3128</v>
      </c>
      <c r="J706" s="8"/>
      <c r="K706" s="8" t="s">
        <v>3080</v>
      </c>
      <c r="L706" s="6"/>
      <c r="M706" s="7" t="s">
        <v>43</v>
      </c>
      <c r="N706" s="7"/>
      <c r="O706" s="7"/>
      <c r="P706" s="6" t="s">
        <v>44</v>
      </c>
      <c r="Q706" s="6"/>
      <c r="R706" t="str">
        <f>HYPERLINK("https://docs.wto.org/imrd/directdoc.asp?DDFDocuments/t/G/TBTN22/BDI241A2.docx", "https://docs.wto.org/imrd/directdoc.asp?DDFDocuments/t/G/TBTN22/BDI241A2.docx")</f>
        <v>https://docs.wto.org/imrd/directdoc.asp?DDFDocuments/t/G/TBTN22/BDI241A2.docx</v>
      </c>
      <c r="S706" t="str">
        <f>HYPERLINK("https://docs.wto.org/imrd/directdoc.asp?DDFDocuments/u/G/TBTN22/BDI241A2.docx", "https://docs.wto.org/imrd/directdoc.asp?DDFDocuments/u/G/TBTN22/BDI241A2.docx")</f>
        <v>https://docs.wto.org/imrd/directdoc.asp?DDFDocuments/u/G/TBTN22/BDI241A2.docx</v>
      </c>
      <c r="T706" t="str">
        <f>HYPERLINK("https://docs.wto.org/imrd/directdoc.asp?DDFDocuments/v/G/TBTN22/BDI241A2.docx", "https://docs.wto.org/imrd/directdoc.asp?DDFDocuments/v/G/TBTN22/BDI241A2.docx")</f>
        <v>https://docs.wto.org/imrd/directdoc.asp?DDFDocuments/v/G/TBTN22/BDI241A2.docx</v>
      </c>
      <c r="U706" t="s">
        <v>64</v>
      </c>
      <c r="V706" t="s">
        <v>46</v>
      </c>
      <c r="W706" t="s">
        <v>46</v>
      </c>
      <c r="X706" t="s">
        <v>46</v>
      </c>
      <c r="Y706" t="s">
        <v>46</v>
      </c>
      <c r="Z706" t="s">
        <v>46</v>
      </c>
      <c r="AA706" t="s">
        <v>46</v>
      </c>
      <c r="AB706" s="2" t="s">
        <v>43</v>
      </c>
      <c r="AC706" t="s">
        <v>43</v>
      </c>
      <c r="AD706" t="s">
        <v>43</v>
      </c>
      <c r="AE706" t="s">
        <v>43</v>
      </c>
      <c r="AF706" t="s">
        <v>43</v>
      </c>
      <c r="AG706" t="s">
        <v>43</v>
      </c>
      <c r="AH706" s="2" t="s">
        <v>43</v>
      </c>
    </row>
    <row r="707" spans="1:34" ht="60">
      <c r="A707" s="6" t="s">
        <v>390</v>
      </c>
      <c r="B707" s="7">
        <v>46059</v>
      </c>
      <c r="C707" s="9" t="str">
        <f>HYPERLINK("https://eping.wto.org/en/Search?viewData= G/TBT/N/BDI/219/Add.3, G/TBT/N/KEN/1228/Add.3, G/TBT/N/RWA/645/Add.3, G/TBT/N/TZA/720/Add.3, G/TBT/N/UGA/1552/Add.3"," G/TBT/N/BDI/219/Add.3, G/TBT/N/KEN/1228/Add.3, G/TBT/N/RWA/645/Add.3, G/TBT/N/TZA/720/Add.3, G/TBT/N/UGA/1552/Add.3")</f>
        <v xml:space="preserve"> G/TBT/N/BDI/219/Add.3, G/TBT/N/KEN/1228/Add.3, G/TBT/N/RWA/645/Add.3, G/TBT/N/TZA/720/Add.3, G/TBT/N/UGA/1552/Add.3</v>
      </c>
      <c r="D707" s="8" t="s">
        <v>3129</v>
      </c>
      <c r="E707" s="8" t="s">
        <v>3130</v>
      </c>
      <c r="F707" s="8" t="s">
        <v>2819</v>
      </c>
      <c r="G707" s="8" t="s">
        <v>43</v>
      </c>
      <c r="H707" s="8" t="s">
        <v>2821</v>
      </c>
      <c r="I707" s="8" t="s">
        <v>113</v>
      </c>
      <c r="J707" s="8" t="s">
        <v>43</v>
      </c>
      <c r="K707" s="8" t="s">
        <v>1029</v>
      </c>
      <c r="L707" s="6"/>
      <c r="M707" s="7" t="s">
        <v>43</v>
      </c>
      <c r="N707" s="7"/>
      <c r="O707" s="7"/>
      <c r="P707" s="6" t="s">
        <v>44</v>
      </c>
      <c r="Q707" s="6"/>
      <c r="R707" t="str">
        <f>HYPERLINK("https://docs.wto.org/imrd/directdoc.asp?DDFDocuments/t/G/TBTN22/BDI219A3.docx", "https://docs.wto.org/imrd/directdoc.asp?DDFDocuments/t/G/TBTN22/BDI219A3.docx")</f>
        <v>https://docs.wto.org/imrd/directdoc.asp?DDFDocuments/t/G/TBTN22/BDI219A3.docx</v>
      </c>
      <c r="S707" t="str">
        <f>HYPERLINK("https://docs.wto.org/imrd/directdoc.asp?DDFDocuments/u/G/TBTN22/BDI219A3.docx", "https://docs.wto.org/imrd/directdoc.asp?DDFDocuments/u/G/TBTN22/BDI219A3.docx")</f>
        <v>https://docs.wto.org/imrd/directdoc.asp?DDFDocuments/u/G/TBTN22/BDI219A3.docx</v>
      </c>
      <c r="T707" t="str">
        <f>HYPERLINK("https://docs.wto.org/imrd/directdoc.asp?DDFDocuments/v/G/TBTN22/BDI219A3.docx", "https://docs.wto.org/imrd/directdoc.asp?DDFDocuments/v/G/TBTN22/BDI219A3.docx")</f>
        <v>https://docs.wto.org/imrd/directdoc.asp?DDFDocuments/v/G/TBTN22/BDI219A3.docx</v>
      </c>
      <c r="U707" t="s">
        <v>64</v>
      </c>
      <c r="V707" t="s">
        <v>46</v>
      </c>
      <c r="W707" t="s">
        <v>46</v>
      </c>
      <c r="X707" t="s">
        <v>46</v>
      </c>
      <c r="Y707" t="s">
        <v>46</v>
      </c>
      <c r="Z707" t="s">
        <v>46</v>
      </c>
      <c r="AA707" t="s">
        <v>46</v>
      </c>
      <c r="AB707" s="2" t="s">
        <v>43</v>
      </c>
      <c r="AC707" t="s">
        <v>43</v>
      </c>
      <c r="AD707" t="s">
        <v>43</v>
      </c>
      <c r="AE707" t="s">
        <v>43</v>
      </c>
      <c r="AF707" t="s">
        <v>43</v>
      </c>
      <c r="AG707" t="s">
        <v>43</v>
      </c>
      <c r="AH707" s="2" t="s">
        <v>43</v>
      </c>
    </row>
    <row r="708" spans="1:34" ht="60">
      <c r="A708" s="6" t="s">
        <v>124</v>
      </c>
      <c r="B708" s="7">
        <v>46059</v>
      </c>
      <c r="C708" s="9" t="str">
        <f>HYPERLINK("https://eping.wto.org/en/Search?viewData= G/SPS/N/BDI/13/Add.2, G/SPS/N/KEN/165/Add.2, G/SPS/N/RWA/6/Add.2, G/SPS/N/TZA/197/Add.2, G/SPS/N/UGA/207/Add.2"," G/SPS/N/BDI/13/Add.2, G/SPS/N/KEN/165/Add.2, G/SPS/N/RWA/6/Add.2, G/SPS/N/TZA/197/Add.2, G/SPS/N/UGA/207/Add.2")</f>
        <v xml:space="preserve"> G/SPS/N/BDI/13/Add.2, G/SPS/N/KEN/165/Add.2, G/SPS/N/RWA/6/Add.2, G/SPS/N/TZA/197/Add.2, G/SPS/N/UGA/207/Add.2</v>
      </c>
      <c r="D708" s="8" t="s">
        <v>3106</v>
      </c>
      <c r="E708" s="8" t="s">
        <v>3107</v>
      </c>
      <c r="F708" s="8" t="s">
        <v>3108</v>
      </c>
      <c r="G708" s="8" t="s">
        <v>2885</v>
      </c>
      <c r="H708" s="8" t="s">
        <v>2826</v>
      </c>
      <c r="I708" s="8" t="s">
        <v>58</v>
      </c>
      <c r="J708" s="8" t="s">
        <v>43</v>
      </c>
      <c r="K708" s="8" t="s">
        <v>2845</v>
      </c>
      <c r="L708" s="6"/>
      <c r="M708" s="7" t="s">
        <v>43</v>
      </c>
      <c r="N708" s="7"/>
      <c r="O708" s="7"/>
      <c r="P708" s="6" t="s">
        <v>44</v>
      </c>
      <c r="Q708" s="6"/>
      <c r="R708" t="str">
        <f>HYPERLINK("https://docs.wto.org/imrd/directdoc.asp?DDFDocuments/t/G/SPS/NBDI13A2.docx", "https://docs.wto.org/imrd/directdoc.asp?DDFDocuments/t/G/SPS/NBDI13A2.docx")</f>
        <v>https://docs.wto.org/imrd/directdoc.asp?DDFDocuments/t/G/SPS/NBDI13A2.docx</v>
      </c>
      <c r="S708" t="str">
        <f>HYPERLINK("https://docs.wto.org/imrd/directdoc.asp?DDFDocuments/u/G/SPS/NBDI13A2.docx", "https://docs.wto.org/imrd/directdoc.asp?DDFDocuments/u/G/SPS/NBDI13A2.docx")</f>
        <v>https://docs.wto.org/imrd/directdoc.asp?DDFDocuments/u/G/SPS/NBDI13A2.docx</v>
      </c>
      <c r="T708" t="str">
        <f>HYPERLINK("https://docs.wto.org/imrd/directdoc.asp?DDFDocuments/v/G/SPS/NBDI13A2.docx", "https://docs.wto.org/imrd/directdoc.asp?DDFDocuments/v/G/SPS/NBDI13A2.docx")</f>
        <v>https://docs.wto.org/imrd/directdoc.asp?DDFDocuments/v/G/SPS/NBDI13A2.docx</v>
      </c>
      <c r="U708" t="s">
        <v>43</v>
      </c>
      <c r="V708" t="s">
        <v>43</v>
      </c>
      <c r="W708" t="s">
        <v>43</v>
      </c>
      <c r="X708" t="s">
        <v>43</v>
      </c>
      <c r="Y708" t="s">
        <v>43</v>
      </c>
      <c r="Z708" t="s">
        <v>43</v>
      </c>
      <c r="AA708" t="s">
        <v>43</v>
      </c>
      <c r="AB708" s="2" t="s">
        <v>43</v>
      </c>
      <c r="AC708" t="s">
        <v>43</v>
      </c>
      <c r="AD708" t="s">
        <v>43</v>
      </c>
      <c r="AE708" t="s">
        <v>43</v>
      </c>
      <c r="AF708" t="s">
        <v>43</v>
      </c>
      <c r="AG708" t="s">
        <v>43</v>
      </c>
      <c r="AH708" s="2" t="s">
        <v>43</v>
      </c>
    </row>
    <row r="709" spans="1:34" ht="60">
      <c r="A709" s="6" t="s">
        <v>124</v>
      </c>
      <c r="B709" s="7">
        <v>46059</v>
      </c>
      <c r="C709" s="9" t="str">
        <f>HYPERLINK("https://eping.wto.org/en/Search?viewData= G/TBT/N/BDI/243/Add.4, G/TBT/N/KEN/1262/Add.4, G/TBT/N/RWA/673/Add.4, G/TBT/N/TZA/783/Add.4, G/TBT/N/UGA/1597/Add.4"," G/TBT/N/BDI/243/Add.4, G/TBT/N/KEN/1262/Add.4, G/TBT/N/RWA/673/Add.4, G/TBT/N/TZA/783/Add.4, G/TBT/N/UGA/1597/Add.4")</f>
        <v xml:space="preserve"> G/TBT/N/BDI/243/Add.4, G/TBT/N/KEN/1262/Add.4, G/TBT/N/RWA/673/Add.4, G/TBT/N/TZA/783/Add.4, G/TBT/N/UGA/1597/Add.4</v>
      </c>
      <c r="D709" s="8" t="s">
        <v>3068</v>
      </c>
      <c r="E709" s="8" t="s">
        <v>3069</v>
      </c>
      <c r="F709" s="8" t="s">
        <v>3070</v>
      </c>
      <c r="G709" s="8" t="s">
        <v>3071</v>
      </c>
      <c r="H709" s="8" t="s">
        <v>3072</v>
      </c>
      <c r="I709" s="8" t="s">
        <v>3092</v>
      </c>
      <c r="J709" s="8"/>
      <c r="K709" s="8" t="s">
        <v>3074</v>
      </c>
      <c r="L709" s="6"/>
      <c r="M709" s="7" t="s">
        <v>43</v>
      </c>
      <c r="N709" s="7"/>
      <c r="O709" s="7"/>
      <c r="P709" s="6" t="s">
        <v>44</v>
      </c>
      <c r="Q709" s="6"/>
      <c r="R709" t="str">
        <f>HYPERLINK("https://docs.wto.org/imrd/directdoc.asp?DDFDocuments/t/G/TBTN22/BDI243A4.docx", "https://docs.wto.org/imrd/directdoc.asp?DDFDocuments/t/G/TBTN22/BDI243A4.docx")</f>
        <v>https://docs.wto.org/imrd/directdoc.asp?DDFDocuments/t/G/TBTN22/BDI243A4.docx</v>
      </c>
      <c r="S709" t="str">
        <f>HYPERLINK("https://docs.wto.org/imrd/directdoc.asp?DDFDocuments/u/G/TBTN22/BDI243A4.docx", "https://docs.wto.org/imrd/directdoc.asp?DDFDocuments/u/G/TBTN22/BDI243A4.docx")</f>
        <v>https://docs.wto.org/imrd/directdoc.asp?DDFDocuments/u/G/TBTN22/BDI243A4.docx</v>
      </c>
      <c r="T709" t="str">
        <f>HYPERLINK("https://docs.wto.org/imrd/directdoc.asp?DDFDocuments/v/G/TBTN22/BDI243A4.docx", "https://docs.wto.org/imrd/directdoc.asp?DDFDocuments/v/G/TBTN22/BDI243A4.docx")</f>
        <v>https://docs.wto.org/imrd/directdoc.asp?DDFDocuments/v/G/TBTN22/BDI243A4.docx</v>
      </c>
      <c r="U709" t="s">
        <v>64</v>
      </c>
      <c r="V709" t="s">
        <v>46</v>
      </c>
      <c r="W709" t="s">
        <v>46</v>
      </c>
      <c r="X709" t="s">
        <v>46</v>
      </c>
      <c r="Y709" t="s">
        <v>46</v>
      </c>
      <c r="Z709" t="s">
        <v>46</v>
      </c>
      <c r="AA709" t="s">
        <v>46</v>
      </c>
      <c r="AB709" s="2" t="s">
        <v>43</v>
      </c>
      <c r="AC709" t="s">
        <v>43</v>
      </c>
      <c r="AD709" t="s">
        <v>43</v>
      </c>
      <c r="AE709" t="s">
        <v>43</v>
      </c>
      <c r="AF709" t="s">
        <v>43</v>
      </c>
      <c r="AG709" t="s">
        <v>43</v>
      </c>
      <c r="AH709" s="2" t="s">
        <v>43</v>
      </c>
    </row>
    <row r="710" spans="1:34" ht="60">
      <c r="A710" s="6" t="s">
        <v>509</v>
      </c>
      <c r="B710" s="7">
        <v>46059</v>
      </c>
      <c r="C710" s="9" t="str">
        <f>HYPERLINK("https://eping.wto.org/en/Search?viewData= G/TBT/N/BDI/243/Add.4, G/TBT/N/KEN/1262/Add.4, G/TBT/N/RWA/673/Add.4, G/TBT/N/TZA/783/Add.4, G/TBT/N/UGA/1597/Add.4"," G/TBT/N/BDI/243/Add.4, G/TBT/N/KEN/1262/Add.4, G/TBT/N/RWA/673/Add.4, G/TBT/N/TZA/783/Add.4, G/TBT/N/UGA/1597/Add.4")</f>
        <v xml:space="preserve"> G/TBT/N/BDI/243/Add.4, G/TBT/N/KEN/1262/Add.4, G/TBT/N/RWA/673/Add.4, G/TBT/N/TZA/783/Add.4, G/TBT/N/UGA/1597/Add.4</v>
      </c>
      <c r="D710" s="8" t="s">
        <v>3068</v>
      </c>
      <c r="E710" s="8" t="s">
        <v>3069</v>
      </c>
      <c r="F710" s="8" t="s">
        <v>3070</v>
      </c>
      <c r="G710" s="8" t="s">
        <v>3071</v>
      </c>
      <c r="H710" s="8" t="s">
        <v>3072</v>
      </c>
      <c r="I710" s="8" t="s">
        <v>3092</v>
      </c>
      <c r="J710" s="8"/>
      <c r="K710" s="8" t="s">
        <v>3074</v>
      </c>
      <c r="L710" s="6"/>
      <c r="M710" s="7" t="s">
        <v>43</v>
      </c>
      <c r="N710" s="7"/>
      <c r="O710" s="7"/>
      <c r="P710" s="6" t="s">
        <v>44</v>
      </c>
      <c r="Q710" s="6"/>
      <c r="R710" t="str">
        <f>HYPERLINK("https://docs.wto.org/imrd/directdoc.asp?DDFDocuments/t/G/TBTN22/BDI243A4.docx", "https://docs.wto.org/imrd/directdoc.asp?DDFDocuments/t/G/TBTN22/BDI243A4.docx")</f>
        <v>https://docs.wto.org/imrd/directdoc.asp?DDFDocuments/t/G/TBTN22/BDI243A4.docx</v>
      </c>
      <c r="S710" t="str">
        <f>HYPERLINK("https://docs.wto.org/imrd/directdoc.asp?DDFDocuments/u/G/TBTN22/BDI243A4.docx", "https://docs.wto.org/imrd/directdoc.asp?DDFDocuments/u/G/TBTN22/BDI243A4.docx")</f>
        <v>https://docs.wto.org/imrd/directdoc.asp?DDFDocuments/u/G/TBTN22/BDI243A4.docx</v>
      </c>
      <c r="T710" t="str">
        <f>HYPERLINK("https://docs.wto.org/imrd/directdoc.asp?DDFDocuments/v/G/TBTN22/BDI243A4.docx", "https://docs.wto.org/imrd/directdoc.asp?DDFDocuments/v/G/TBTN22/BDI243A4.docx")</f>
        <v>https://docs.wto.org/imrd/directdoc.asp?DDFDocuments/v/G/TBTN22/BDI243A4.docx</v>
      </c>
      <c r="U710" t="s">
        <v>64</v>
      </c>
      <c r="V710" t="s">
        <v>46</v>
      </c>
      <c r="W710" t="s">
        <v>46</v>
      </c>
      <c r="X710" t="s">
        <v>46</v>
      </c>
      <c r="Y710" t="s">
        <v>46</v>
      </c>
      <c r="Z710" t="s">
        <v>46</v>
      </c>
      <c r="AA710" t="s">
        <v>46</v>
      </c>
      <c r="AB710" s="2" t="s">
        <v>43</v>
      </c>
      <c r="AC710" t="s">
        <v>43</v>
      </c>
      <c r="AD710" t="s">
        <v>43</v>
      </c>
      <c r="AE710" t="s">
        <v>43</v>
      </c>
      <c r="AF710" t="s">
        <v>43</v>
      </c>
      <c r="AG710" t="s">
        <v>43</v>
      </c>
      <c r="AH710" s="2" t="s">
        <v>43</v>
      </c>
    </row>
    <row r="711" spans="1:34" ht="90">
      <c r="A711" s="6" t="s">
        <v>108</v>
      </c>
      <c r="B711" s="7">
        <v>46059</v>
      </c>
      <c r="C711" s="9" t="str">
        <f>HYPERLINK("https://eping.wto.org/en/Search?viewData= G/TBT/N/BDI/219/Add.3, G/TBT/N/KEN/1228/Add.3, G/TBT/N/RWA/645/Add.3, G/TBT/N/TZA/720/Add.3, G/TBT/N/UGA/1552/Add.3"," G/TBT/N/BDI/219/Add.3, G/TBT/N/KEN/1228/Add.3, G/TBT/N/RWA/645/Add.3, G/TBT/N/TZA/720/Add.3, G/TBT/N/UGA/1552/Add.3")</f>
        <v xml:space="preserve"> G/TBT/N/BDI/219/Add.3, G/TBT/N/KEN/1228/Add.3, G/TBT/N/RWA/645/Add.3, G/TBT/N/TZA/720/Add.3, G/TBT/N/UGA/1552/Add.3</v>
      </c>
      <c r="D711" s="8" t="s">
        <v>3129</v>
      </c>
      <c r="E711" s="8" t="s">
        <v>3130</v>
      </c>
      <c r="F711" s="8" t="s">
        <v>2819</v>
      </c>
      <c r="G711" s="8" t="s">
        <v>43</v>
      </c>
      <c r="H711" s="8" t="s">
        <v>2821</v>
      </c>
      <c r="I711" s="8" t="s">
        <v>3096</v>
      </c>
      <c r="J711" s="8" t="s">
        <v>43</v>
      </c>
      <c r="K711" s="8" t="s">
        <v>1029</v>
      </c>
      <c r="L711" s="6"/>
      <c r="M711" s="7" t="s">
        <v>43</v>
      </c>
      <c r="N711" s="7"/>
      <c r="O711" s="7"/>
      <c r="P711" s="6" t="s">
        <v>44</v>
      </c>
      <c r="Q711" s="6"/>
      <c r="R711" t="str">
        <f>HYPERLINK("https://docs.wto.org/imrd/directdoc.asp?DDFDocuments/t/G/TBTN22/BDI219A3.docx", "https://docs.wto.org/imrd/directdoc.asp?DDFDocuments/t/G/TBTN22/BDI219A3.docx")</f>
        <v>https://docs.wto.org/imrd/directdoc.asp?DDFDocuments/t/G/TBTN22/BDI219A3.docx</v>
      </c>
      <c r="S711" t="str">
        <f>HYPERLINK("https://docs.wto.org/imrd/directdoc.asp?DDFDocuments/u/G/TBTN22/BDI219A3.docx", "https://docs.wto.org/imrd/directdoc.asp?DDFDocuments/u/G/TBTN22/BDI219A3.docx")</f>
        <v>https://docs.wto.org/imrd/directdoc.asp?DDFDocuments/u/G/TBTN22/BDI219A3.docx</v>
      </c>
      <c r="T711" t="str">
        <f>HYPERLINK("https://docs.wto.org/imrd/directdoc.asp?DDFDocuments/v/G/TBTN22/BDI219A3.docx", "https://docs.wto.org/imrd/directdoc.asp?DDFDocuments/v/G/TBTN22/BDI219A3.docx")</f>
        <v>https://docs.wto.org/imrd/directdoc.asp?DDFDocuments/v/G/TBTN22/BDI219A3.docx</v>
      </c>
      <c r="U711" t="s">
        <v>64</v>
      </c>
      <c r="V711" t="s">
        <v>46</v>
      </c>
      <c r="W711" t="s">
        <v>46</v>
      </c>
      <c r="X711" t="s">
        <v>46</v>
      </c>
      <c r="Y711" t="s">
        <v>46</v>
      </c>
      <c r="Z711" t="s">
        <v>46</v>
      </c>
      <c r="AA711" t="s">
        <v>46</v>
      </c>
      <c r="AB711" s="2" t="s">
        <v>43</v>
      </c>
      <c r="AC711" t="s">
        <v>43</v>
      </c>
      <c r="AD711" t="s">
        <v>43</v>
      </c>
      <c r="AE711" t="s">
        <v>43</v>
      </c>
      <c r="AF711" t="s">
        <v>43</v>
      </c>
      <c r="AG711" t="s">
        <v>43</v>
      </c>
      <c r="AH711" s="2" t="s">
        <v>43</v>
      </c>
    </row>
    <row r="712" spans="1:34" ht="90">
      <c r="A712" s="6" t="s">
        <v>509</v>
      </c>
      <c r="B712" s="7">
        <v>46059</v>
      </c>
      <c r="C712" s="9" t="str">
        <f>HYPERLINK("https://eping.wto.org/en/Search?viewData= G/TBT/N/BDI/219/Add.3, G/TBT/N/KEN/1228/Add.3, G/TBT/N/RWA/645/Add.3, G/TBT/N/TZA/720/Add.3, G/TBT/N/UGA/1552/Add.3"," G/TBT/N/BDI/219/Add.3, G/TBT/N/KEN/1228/Add.3, G/TBT/N/RWA/645/Add.3, G/TBT/N/TZA/720/Add.3, G/TBT/N/UGA/1552/Add.3")</f>
        <v xml:space="preserve"> G/TBT/N/BDI/219/Add.3, G/TBT/N/KEN/1228/Add.3, G/TBT/N/RWA/645/Add.3, G/TBT/N/TZA/720/Add.3, G/TBT/N/UGA/1552/Add.3</v>
      </c>
      <c r="D712" s="8" t="s">
        <v>3129</v>
      </c>
      <c r="E712" s="8" t="s">
        <v>3130</v>
      </c>
      <c r="F712" s="8" t="s">
        <v>2819</v>
      </c>
      <c r="G712" s="8" t="s">
        <v>43</v>
      </c>
      <c r="H712" s="8" t="s">
        <v>2821</v>
      </c>
      <c r="I712" s="8" t="s">
        <v>3096</v>
      </c>
      <c r="J712" s="8" t="s">
        <v>43</v>
      </c>
      <c r="K712" s="8" t="s">
        <v>1029</v>
      </c>
      <c r="L712" s="6"/>
      <c r="M712" s="7" t="s">
        <v>43</v>
      </c>
      <c r="N712" s="7"/>
      <c r="O712" s="7"/>
      <c r="P712" s="6" t="s">
        <v>44</v>
      </c>
      <c r="Q712" s="6"/>
      <c r="R712" t="str">
        <f>HYPERLINK("https://docs.wto.org/imrd/directdoc.asp?DDFDocuments/t/G/TBTN22/BDI219A3.docx", "https://docs.wto.org/imrd/directdoc.asp?DDFDocuments/t/G/TBTN22/BDI219A3.docx")</f>
        <v>https://docs.wto.org/imrd/directdoc.asp?DDFDocuments/t/G/TBTN22/BDI219A3.docx</v>
      </c>
      <c r="S712" t="str">
        <f>HYPERLINK("https://docs.wto.org/imrd/directdoc.asp?DDFDocuments/u/G/TBTN22/BDI219A3.docx", "https://docs.wto.org/imrd/directdoc.asp?DDFDocuments/u/G/TBTN22/BDI219A3.docx")</f>
        <v>https://docs.wto.org/imrd/directdoc.asp?DDFDocuments/u/G/TBTN22/BDI219A3.docx</v>
      </c>
      <c r="T712" t="str">
        <f>HYPERLINK("https://docs.wto.org/imrd/directdoc.asp?DDFDocuments/v/G/TBTN22/BDI219A3.docx", "https://docs.wto.org/imrd/directdoc.asp?DDFDocuments/v/G/TBTN22/BDI219A3.docx")</f>
        <v>https://docs.wto.org/imrd/directdoc.asp?DDFDocuments/v/G/TBTN22/BDI219A3.docx</v>
      </c>
      <c r="U712" t="s">
        <v>64</v>
      </c>
      <c r="V712" t="s">
        <v>46</v>
      </c>
      <c r="W712" t="s">
        <v>46</v>
      </c>
      <c r="X712" t="s">
        <v>46</v>
      </c>
      <c r="Y712" t="s">
        <v>46</v>
      </c>
      <c r="Z712" t="s">
        <v>46</v>
      </c>
      <c r="AA712" t="s">
        <v>46</v>
      </c>
      <c r="AB712" s="2" t="s">
        <v>43</v>
      </c>
      <c r="AC712" t="s">
        <v>43</v>
      </c>
      <c r="AD712" t="s">
        <v>43</v>
      </c>
      <c r="AE712" t="s">
        <v>43</v>
      </c>
      <c r="AF712" t="s">
        <v>43</v>
      </c>
      <c r="AG712" t="s">
        <v>43</v>
      </c>
      <c r="AH712" s="2" t="s">
        <v>43</v>
      </c>
    </row>
    <row r="713" spans="1:34" ht="90">
      <c r="A713" s="6" t="s">
        <v>509</v>
      </c>
      <c r="B713" s="7">
        <v>46059</v>
      </c>
      <c r="C713" s="9" t="str">
        <f>HYPERLINK("https://eping.wto.org/en/Search?viewData= G/TBT/N/BDI/222/Add.3, G/TBT/N/KEN/1231/Add.3, G/TBT/N/RWA/648/Add.3, G/TBT/N/TZA/723/Add.3, G/TBT/N/UGA/1555/Add.3"," G/TBT/N/BDI/222/Add.3, G/TBT/N/KEN/1231/Add.3, G/TBT/N/RWA/648/Add.3, G/TBT/N/TZA/723/Add.3, G/TBT/N/UGA/1555/Add.3")</f>
        <v xml:space="preserve"> G/TBT/N/BDI/222/Add.3, G/TBT/N/KEN/1231/Add.3, G/TBT/N/RWA/648/Add.3, G/TBT/N/TZA/723/Add.3, G/TBT/N/UGA/1555/Add.3</v>
      </c>
      <c r="D713" s="8" t="s">
        <v>3094</v>
      </c>
      <c r="E713" s="8" t="s">
        <v>3095</v>
      </c>
      <c r="F713" s="8" t="s">
        <v>2819</v>
      </c>
      <c r="G713" s="8" t="s">
        <v>43</v>
      </c>
      <c r="H713" s="8" t="s">
        <v>2821</v>
      </c>
      <c r="I713" s="8" t="s">
        <v>3096</v>
      </c>
      <c r="J713" s="8" t="s">
        <v>43</v>
      </c>
      <c r="K713" s="8" t="s">
        <v>1029</v>
      </c>
      <c r="L713" s="6"/>
      <c r="M713" s="7" t="s">
        <v>43</v>
      </c>
      <c r="N713" s="7"/>
      <c r="O713" s="7"/>
      <c r="P713" s="6" t="s">
        <v>44</v>
      </c>
      <c r="Q713" s="6"/>
      <c r="R713" t="str">
        <f>HYPERLINK("https://docs.wto.org/imrd/directdoc.asp?DDFDocuments/t/G/TBTN22/BDI222A3.docx", "https://docs.wto.org/imrd/directdoc.asp?DDFDocuments/t/G/TBTN22/BDI222A3.docx")</f>
        <v>https://docs.wto.org/imrd/directdoc.asp?DDFDocuments/t/G/TBTN22/BDI222A3.docx</v>
      </c>
      <c r="S713" t="str">
        <f>HYPERLINK("https://docs.wto.org/imrd/directdoc.asp?DDFDocuments/u/G/TBTN22/BDI222A3.docx", "https://docs.wto.org/imrd/directdoc.asp?DDFDocuments/u/G/TBTN22/BDI222A3.docx")</f>
        <v>https://docs.wto.org/imrd/directdoc.asp?DDFDocuments/u/G/TBTN22/BDI222A3.docx</v>
      </c>
      <c r="T713" t="str">
        <f>HYPERLINK("https://docs.wto.org/imrd/directdoc.asp?DDFDocuments/v/G/TBTN22/BDI222A3.docx", "https://docs.wto.org/imrd/directdoc.asp?DDFDocuments/v/G/TBTN22/BDI222A3.docx")</f>
        <v>https://docs.wto.org/imrd/directdoc.asp?DDFDocuments/v/G/TBTN22/BDI222A3.docx</v>
      </c>
      <c r="U713" t="s">
        <v>64</v>
      </c>
      <c r="V713" t="s">
        <v>46</v>
      </c>
      <c r="W713" t="s">
        <v>46</v>
      </c>
      <c r="X713" t="s">
        <v>46</v>
      </c>
      <c r="Y713" t="s">
        <v>46</v>
      </c>
      <c r="Z713" t="s">
        <v>46</v>
      </c>
      <c r="AA713" t="s">
        <v>46</v>
      </c>
      <c r="AB713" s="2" t="s">
        <v>43</v>
      </c>
      <c r="AC713" t="s">
        <v>43</v>
      </c>
      <c r="AD713" t="s">
        <v>43</v>
      </c>
      <c r="AE713" t="s">
        <v>43</v>
      </c>
      <c r="AF713" t="s">
        <v>43</v>
      </c>
      <c r="AG713" t="s">
        <v>43</v>
      </c>
      <c r="AH713" s="2" t="s">
        <v>43</v>
      </c>
    </row>
    <row r="714" spans="1:34" ht="60">
      <c r="A714" s="6" t="s">
        <v>390</v>
      </c>
      <c r="B714" s="7">
        <v>46059</v>
      </c>
      <c r="C714" s="9" t="str">
        <f>HYPERLINK("https://eping.wto.org/en/Search?viewData= G/TBT/N/BDI/241/Add.2, G/TBT/N/KEN/1260/Add.2, G/TBT/N/RWA/671/Add.2, G/TBT/N/TZA/781/Add.2, G/TBT/N/UGA/1594/Add.2"," G/TBT/N/BDI/241/Add.2, G/TBT/N/KEN/1260/Add.2, G/TBT/N/RWA/671/Add.2, G/TBT/N/TZA/781/Add.2, G/TBT/N/UGA/1594/Add.2")</f>
        <v xml:space="preserve"> G/TBT/N/BDI/241/Add.2, G/TBT/N/KEN/1260/Add.2, G/TBT/N/RWA/671/Add.2, G/TBT/N/TZA/781/Add.2, G/TBT/N/UGA/1594/Add.2</v>
      </c>
      <c r="D714" s="8" t="s">
        <v>3126</v>
      </c>
      <c r="E714" s="8" t="s">
        <v>3127</v>
      </c>
      <c r="F714" s="8" t="s">
        <v>3077</v>
      </c>
      <c r="G714" s="8" t="s">
        <v>3078</v>
      </c>
      <c r="H714" s="8" t="s">
        <v>1959</v>
      </c>
      <c r="I714" s="8" t="s">
        <v>1528</v>
      </c>
      <c r="J714" s="8"/>
      <c r="K714" s="8" t="s">
        <v>3080</v>
      </c>
      <c r="L714" s="6"/>
      <c r="M714" s="7" t="s">
        <v>43</v>
      </c>
      <c r="N714" s="7"/>
      <c r="O714" s="7"/>
      <c r="P714" s="6" t="s">
        <v>44</v>
      </c>
      <c r="Q714" s="6"/>
      <c r="R714" t="str">
        <f>HYPERLINK("https://docs.wto.org/imrd/directdoc.asp?DDFDocuments/t/G/TBTN22/BDI241A2.docx", "https://docs.wto.org/imrd/directdoc.asp?DDFDocuments/t/G/TBTN22/BDI241A2.docx")</f>
        <v>https://docs.wto.org/imrd/directdoc.asp?DDFDocuments/t/G/TBTN22/BDI241A2.docx</v>
      </c>
      <c r="S714" t="str">
        <f>HYPERLINK("https://docs.wto.org/imrd/directdoc.asp?DDFDocuments/u/G/TBTN22/BDI241A2.docx", "https://docs.wto.org/imrd/directdoc.asp?DDFDocuments/u/G/TBTN22/BDI241A2.docx")</f>
        <v>https://docs.wto.org/imrd/directdoc.asp?DDFDocuments/u/G/TBTN22/BDI241A2.docx</v>
      </c>
      <c r="T714" t="str">
        <f>HYPERLINK("https://docs.wto.org/imrd/directdoc.asp?DDFDocuments/v/G/TBTN22/BDI241A2.docx", "https://docs.wto.org/imrd/directdoc.asp?DDFDocuments/v/G/TBTN22/BDI241A2.docx")</f>
        <v>https://docs.wto.org/imrd/directdoc.asp?DDFDocuments/v/G/TBTN22/BDI241A2.docx</v>
      </c>
      <c r="U714" t="s">
        <v>64</v>
      </c>
      <c r="V714" t="s">
        <v>46</v>
      </c>
      <c r="W714" t="s">
        <v>46</v>
      </c>
      <c r="X714" t="s">
        <v>46</v>
      </c>
      <c r="Y714" t="s">
        <v>46</v>
      </c>
      <c r="Z714" t="s">
        <v>46</v>
      </c>
      <c r="AA714" t="s">
        <v>46</v>
      </c>
      <c r="AB714" s="2" t="s">
        <v>43</v>
      </c>
      <c r="AC714" t="s">
        <v>43</v>
      </c>
      <c r="AD714" t="s">
        <v>43</v>
      </c>
      <c r="AE714" t="s">
        <v>43</v>
      </c>
      <c r="AF714" t="s">
        <v>43</v>
      </c>
      <c r="AG714" t="s">
        <v>43</v>
      </c>
      <c r="AH714" s="2" t="s">
        <v>43</v>
      </c>
    </row>
    <row r="715" spans="1:34" ht="60">
      <c r="A715" s="6" t="s">
        <v>390</v>
      </c>
      <c r="B715" s="7">
        <v>46059</v>
      </c>
      <c r="C715" s="9" t="str">
        <f>HYPERLINK("https://eping.wto.org/en/Search?viewData= G/TBT/N/BDI/221/Add.3, G/TBT/N/KEN/1230/Add.3, G/TBT/N/RWA/647/Add.3, G/TBT/N/TZA/722/Add.3, G/TBT/N/UGA/1554/Add.3"," G/TBT/N/BDI/221/Add.3, G/TBT/N/KEN/1230/Add.3, G/TBT/N/RWA/647/Add.3, G/TBT/N/TZA/722/Add.3, G/TBT/N/UGA/1554/Add.3")</f>
        <v xml:space="preserve"> G/TBT/N/BDI/221/Add.3, G/TBT/N/KEN/1230/Add.3, G/TBT/N/RWA/647/Add.3, G/TBT/N/TZA/722/Add.3, G/TBT/N/UGA/1554/Add.3</v>
      </c>
      <c r="D715" s="8" t="s">
        <v>3131</v>
      </c>
      <c r="E715" s="8" t="s">
        <v>3132</v>
      </c>
      <c r="F715" s="8" t="s">
        <v>2819</v>
      </c>
      <c r="G715" s="8" t="s">
        <v>43</v>
      </c>
      <c r="H715" s="8" t="s">
        <v>2821</v>
      </c>
      <c r="I715" s="8" t="s">
        <v>2838</v>
      </c>
      <c r="J715" s="8" t="s">
        <v>43</v>
      </c>
      <c r="K715" s="8" t="s">
        <v>1029</v>
      </c>
      <c r="L715" s="6"/>
      <c r="M715" s="7" t="s">
        <v>43</v>
      </c>
      <c r="N715" s="7"/>
      <c r="O715" s="7"/>
      <c r="P715" s="6" t="s">
        <v>44</v>
      </c>
      <c r="Q715" s="6"/>
      <c r="R715" t="str">
        <f>HYPERLINK("https://docs.wto.org/imrd/directdoc.asp?DDFDocuments/t/G/TBTN22/BDI221A3.docx", "https://docs.wto.org/imrd/directdoc.asp?DDFDocuments/t/G/TBTN22/BDI221A3.docx")</f>
        <v>https://docs.wto.org/imrd/directdoc.asp?DDFDocuments/t/G/TBTN22/BDI221A3.docx</v>
      </c>
      <c r="S715" t="str">
        <f>HYPERLINK("https://docs.wto.org/imrd/directdoc.asp?DDFDocuments/u/G/TBTN22/BDI221A3.docx", "https://docs.wto.org/imrd/directdoc.asp?DDFDocuments/u/G/TBTN22/BDI221A3.docx")</f>
        <v>https://docs.wto.org/imrd/directdoc.asp?DDFDocuments/u/G/TBTN22/BDI221A3.docx</v>
      </c>
      <c r="T715" t="str">
        <f>HYPERLINK("https://docs.wto.org/imrd/directdoc.asp?DDFDocuments/v/G/TBTN22/BDI221A3.docx", "https://docs.wto.org/imrd/directdoc.asp?DDFDocuments/v/G/TBTN22/BDI221A3.docx")</f>
        <v>https://docs.wto.org/imrd/directdoc.asp?DDFDocuments/v/G/TBTN22/BDI221A3.docx</v>
      </c>
      <c r="U715" t="s">
        <v>64</v>
      </c>
      <c r="V715" t="s">
        <v>46</v>
      </c>
      <c r="W715" t="s">
        <v>46</v>
      </c>
      <c r="X715" t="s">
        <v>46</v>
      </c>
      <c r="Y715" t="s">
        <v>46</v>
      </c>
      <c r="Z715" t="s">
        <v>46</v>
      </c>
      <c r="AA715" t="s">
        <v>46</v>
      </c>
      <c r="AB715" s="2" t="s">
        <v>43</v>
      </c>
      <c r="AC715" t="s">
        <v>43</v>
      </c>
      <c r="AD715" t="s">
        <v>43</v>
      </c>
      <c r="AE715" t="s">
        <v>43</v>
      </c>
      <c r="AF715" t="s">
        <v>43</v>
      </c>
      <c r="AG715" t="s">
        <v>43</v>
      </c>
      <c r="AH715" s="2" t="s">
        <v>43</v>
      </c>
    </row>
    <row r="716" spans="1:34" ht="60">
      <c r="A716" s="6" t="s">
        <v>509</v>
      </c>
      <c r="B716" s="7">
        <v>46059</v>
      </c>
      <c r="C716" s="9" t="str">
        <f>HYPERLINK("https://eping.wto.org/en/Search?viewData= G/SPS/N/BDI/13/Add.2, G/SPS/N/KEN/165/Add.2, G/SPS/N/RWA/6/Add.2, G/SPS/N/TZA/197/Add.2, G/SPS/N/UGA/207/Add.2"," G/SPS/N/BDI/13/Add.2, G/SPS/N/KEN/165/Add.2, G/SPS/N/RWA/6/Add.2, G/SPS/N/TZA/197/Add.2, G/SPS/N/UGA/207/Add.2")</f>
        <v xml:space="preserve"> G/SPS/N/BDI/13/Add.2, G/SPS/N/KEN/165/Add.2, G/SPS/N/RWA/6/Add.2, G/SPS/N/TZA/197/Add.2, G/SPS/N/UGA/207/Add.2</v>
      </c>
      <c r="D716" s="8" t="s">
        <v>3106</v>
      </c>
      <c r="E716" s="8" t="s">
        <v>3107</v>
      </c>
      <c r="F716" s="8" t="s">
        <v>3108</v>
      </c>
      <c r="G716" s="8" t="s">
        <v>2885</v>
      </c>
      <c r="H716" s="8" t="s">
        <v>2826</v>
      </c>
      <c r="I716" s="8" t="s">
        <v>58</v>
      </c>
      <c r="J716" s="8" t="s">
        <v>43</v>
      </c>
      <c r="K716" s="8" t="s">
        <v>2845</v>
      </c>
      <c r="L716" s="6"/>
      <c r="M716" s="7" t="s">
        <v>43</v>
      </c>
      <c r="N716" s="7"/>
      <c r="O716" s="7"/>
      <c r="P716" s="6" t="s">
        <v>44</v>
      </c>
      <c r="Q716" s="6"/>
      <c r="R716" t="str">
        <f>HYPERLINK("https://docs.wto.org/imrd/directdoc.asp?DDFDocuments/t/G/SPS/NBDI13A2.docx", "https://docs.wto.org/imrd/directdoc.asp?DDFDocuments/t/G/SPS/NBDI13A2.docx")</f>
        <v>https://docs.wto.org/imrd/directdoc.asp?DDFDocuments/t/G/SPS/NBDI13A2.docx</v>
      </c>
      <c r="S716" t="str">
        <f>HYPERLINK("https://docs.wto.org/imrd/directdoc.asp?DDFDocuments/u/G/SPS/NBDI13A2.docx", "https://docs.wto.org/imrd/directdoc.asp?DDFDocuments/u/G/SPS/NBDI13A2.docx")</f>
        <v>https://docs.wto.org/imrd/directdoc.asp?DDFDocuments/u/G/SPS/NBDI13A2.docx</v>
      </c>
      <c r="T716" t="str">
        <f>HYPERLINK("https://docs.wto.org/imrd/directdoc.asp?DDFDocuments/v/G/SPS/NBDI13A2.docx", "https://docs.wto.org/imrd/directdoc.asp?DDFDocuments/v/G/SPS/NBDI13A2.docx")</f>
        <v>https://docs.wto.org/imrd/directdoc.asp?DDFDocuments/v/G/SPS/NBDI13A2.docx</v>
      </c>
      <c r="U716" t="s">
        <v>43</v>
      </c>
      <c r="V716" t="s">
        <v>43</v>
      </c>
      <c r="W716" t="s">
        <v>43</v>
      </c>
      <c r="X716" t="s">
        <v>43</v>
      </c>
      <c r="Y716" t="s">
        <v>43</v>
      </c>
      <c r="Z716" t="s">
        <v>43</v>
      </c>
      <c r="AA716" t="s">
        <v>43</v>
      </c>
      <c r="AB716" s="2" t="s">
        <v>43</v>
      </c>
      <c r="AC716" t="s">
        <v>43</v>
      </c>
      <c r="AD716" t="s">
        <v>43</v>
      </c>
      <c r="AE716" t="s">
        <v>43</v>
      </c>
      <c r="AF716" t="s">
        <v>43</v>
      </c>
      <c r="AG716" t="s">
        <v>43</v>
      </c>
      <c r="AH716" s="2" t="s">
        <v>43</v>
      </c>
    </row>
    <row r="717" spans="1:34" ht="60">
      <c r="A717" s="6" t="s">
        <v>124</v>
      </c>
      <c r="B717" s="7">
        <v>46059</v>
      </c>
      <c r="C717" s="9" t="str">
        <f>HYPERLINK("https://eping.wto.org/en/Search?viewData= G/SPS/N/BDI/12/Add.2, G/SPS/N/KEN/164/Add.2, G/SPS/N/RWA/5/Add.2, G/SPS/N/TZA/196/Add.2, G/SPS/N/UGA/206/Add.2"," G/SPS/N/BDI/12/Add.2, G/SPS/N/KEN/164/Add.2, G/SPS/N/RWA/5/Add.2, G/SPS/N/TZA/196/Add.2, G/SPS/N/UGA/206/Add.2")</f>
        <v xml:space="preserve"> G/SPS/N/BDI/12/Add.2, G/SPS/N/KEN/164/Add.2, G/SPS/N/RWA/5/Add.2, G/SPS/N/TZA/196/Add.2, G/SPS/N/UGA/206/Add.2</v>
      </c>
      <c r="D717" s="8" t="s">
        <v>3133</v>
      </c>
      <c r="E717" s="8" t="s">
        <v>3134</v>
      </c>
      <c r="F717" s="8" t="s">
        <v>3135</v>
      </c>
      <c r="G717" s="8" t="s">
        <v>3112</v>
      </c>
      <c r="H717" s="8" t="s">
        <v>2826</v>
      </c>
      <c r="I717" s="8" t="s">
        <v>58</v>
      </c>
      <c r="J717" s="8" t="s">
        <v>43</v>
      </c>
      <c r="K717" s="8" t="s">
        <v>2845</v>
      </c>
      <c r="L717" s="6"/>
      <c r="M717" s="7" t="s">
        <v>43</v>
      </c>
      <c r="N717" s="7"/>
      <c r="O717" s="7"/>
      <c r="P717" s="6" t="s">
        <v>44</v>
      </c>
      <c r="Q717" s="6"/>
      <c r="R717" t="str">
        <f>HYPERLINK("https://docs.wto.org/imrd/directdoc.asp?DDFDocuments/t/G/SPS/NBDI12A2.docx", "https://docs.wto.org/imrd/directdoc.asp?DDFDocuments/t/G/SPS/NBDI12A2.docx")</f>
        <v>https://docs.wto.org/imrd/directdoc.asp?DDFDocuments/t/G/SPS/NBDI12A2.docx</v>
      </c>
      <c r="S717" t="str">
        <f>HYPERLINK("https://docs.wto.org/imrd/directdoc.asp?DDFDocuments/u/G/SPS/NBDI12A2.docx", "https://docs.wto.org/imrd/directdoc.asp?DDFDocuments/u/G/SPS/NBDI12A2.docx")</f>
        <v>https://docs.wto.org/imrd/directdoc.asp?DDFDocuments/u/G/SPS/NBDI12A2.docx</v>
      </c>
      <c r="T717" t="str">
        <f>HYPERLINK("https://docs.wto.org/imrd/directdoc.asp?DDFDocuments/v/G/SPS/NBDI12A2.docx", "https://docs.wto.org/imrd/directdoc.asp?DDFDocuments/v/G/SPS/NBDI12A2.docx")</f>
        <v>https://docs.wto.org/imrd/directdoc.asp?DDFDocuments/v/G/SPS/NBDI12A2.docx</v>
      </c>
      <c r="U717" t="s">
        <v>43</v>
      </c>
      <c r="V717" t="s">
        <v>43</v>
      </c>
      <c r="W717" t="s">
        <v>43</v>
      </c>
      <c r="X717" t="s">
        <v>43</v>
      </c>
      <c r="Y717" t="s">
        <v>43</v>
      </c>
      <c r="Z717" t="s">
        <v>43</v>
      </c>
      <c r="AA717" t="s">
        <v>43</v>
      </c>
      <c r="AB717" s="2" t="s">
        <v>43</v>
      </c>
      <c r="AC717" t="s">
        <v>43</v>
      </c>
      <c r="AD717" t="s">
        <v>43</v>
      </c>
      <c r="AE717" t="s">
        <v>43</v>
      </c>
      <c r="AF717" t="s">
        <v>43</v>
      </c>
      <c r="AG717" t="s">
        <v>43</v>
      </c>
      <c r="AH717" s="2" t="s">
        <v>43</v>
      </c>
    </row>
    <row r="718" spans="1:34" ht="90">
      <c r="A718" s="6" t="s">
        <v>577</v>
      </c>
      <c r="B718" s="7">
        <v>46059</v>
      </c>
      <c r="C718" s="9" t="str">
        <f>HYPERLINK("https://eping.wto.org/en/Search?viewData= G/TBT/N/BDI/220/Add.2, G/TBT/N/KEN/1229/Add.2, G/TBT/N/RWA/646/Add.2, G/TBT/N/TZA/721/Add.2, G/TBT/N/UGA/1553/Add.2"," G/TBT/N/BDI/220/Add.2, G/TBT/N/KEN/1229/Add.2, G/TBT/N/RWA/646/Add.2, G/TBT/N/TZA/721/Add.2, G/TBT/N/UGA/1553/Add.2")</f>
        <v xml:space="preserve"> G/TBT/N/BDI/220/Add.2, G/TBT/N/KEN/1229/Add.2, G/TBT/N/RWA/646/Add.2, G/TBT/N/TZA/721/Add.2, G/TBT/N/UGA/1553/Add.2</v>
      </c>
      <c r="D718" s="8" t="s">
        <v>3114</v>
      </c>
      <c r="E718" s="8" t="s">
        <v>3115</v>
      </c>
      <c r="F718" s="8" t="s">
        <v>2819</v>
      </c>
      <c r="G718" s="8" t="s">
        <v>43</v>
      </c>
      <c r="H718" s="8" t="s">
        <v>2821</v>
      </c>
      <c r="I718" s="8" t="s">
        <v>2846</v>
      </c>
      <c r="J718" s="8" t="s">
        <v>43</v>
      </c>
      <c r="K718" s="8" t="s">
        <v>1029</v>
      </c>
      <c r="L718" s="6"/>
      <c r="M718" s="7" t="s">
        <v>43</v>
      </c>
      <c r="N718" s="7"/>
      <c r="O718" s="7"/>
      <c r="P718" s="6" t="s">
        <v>44</v>
      </c>
      <c r="Q718" s="6"/>
      <c r="R718" t="str">
        <f>HYPERLINK("https://docs.wto.org/imrd/directdoc.asp?DDFDocuments/t/G/TBTN22/BDI220A2.docx", "https://docs.wto.org/imrd/directdoc.asp?DDFDocuments/t/G/TBTN22/BDI220A2.docx")</f>
        <v>https://docs.wto.org/imrd/directdoc.asp?DDFDocuments/t/G/TBTN22/BDI220A2.docx</v>
      </c>
      <c r="S718" t="str">
        <f>HYPERLINK("https://docs.wto.org/imrd/directdoc.asp?DDFDocuments/u/G/TBTN22/BDI220A2.docx", "https://docs.wto.org/imrd/directdoc.asp?DDFDocuments/u/G/TBTN22/BDI220A2.docx")</f>
        <v>https://docs.wto.org/imrd/directdoc.asp?DDFDocuments/u/G/TBTN22/BDI220A2.docx</v>
      </c>
      <c r="T718" t="str">
        <f>HYPERLINK("https://docs.wto.org/imrd/directdoc.asp?DDFDocuments/v/G/TBTN22/BDI220A2.docx", "https://docs.wto.org/imrd/directdoc.asp?DDFDocuments/v/G/TBTN22/BDI220A2.docx")</f>
        <v>https://docs.wto.org/imrd/directdoc.asp?DDFDocuments/v/G/TBTN22/BDI220A2.docx</v>
      </c>
      <c r="U718" t="s">
        <v>64</v>
      </c>
      <c r="V718" t="s">
        <v>46</v>
      </c>
      <c r="W718" t="s">
        <v>46</v>
      </c>
      <c r="X718" t="s">
        <v>46</v>
      </c>
      <c r="Y718" t="s">
        <v>46</v>
      </c>
      <c r="Z718" t="s">
        <v>46</v>
      </c>
      <c r="AA718" t="s">
        <v>46</v>
      </c>
      <c r="AB718" s="2" t="s">
        <v>43</v>
      </c>
      <c r="AC718" t="s">
        <v>43</v>
      </c>
      <c r="AD718" t="s">
        <v>43</v>
      </c>
      <c r="AE718" t="s">
        <v>43</v>
      </c>
      <c r="AF718" t="s">
        <v>43</v>
      </c>
      <c r="AG718" t="s">
        <v>43</v>
      </c>
      <c r="AH718" s="2" t="s">
        <v>43</v>
      </c>
    </row>
    <row r="719" spans="1:34" ht="90">
      <c r="A719" s="6" t="s">
        <v>509</v>
      </c>
      <c r="B719" s="7">
        <v>46059</v>
      </c>
      <c r="C719" s="9" t="str">
        <f>HYPERLINK("https://eping.wto.org/en/Search?viewData= G/TBT/N/BDI/220/Add.2, G/TBT/N/KEN/1229/Add.2, G/TBT/N/RWA/646/Add.2, G/TBT/N/TZA/721/Add.2, G/TBT/N/UGA/1553/Add.2"," G/TBT/N/BDI/220/Add.2, G/TBT/N/KEN/1229/Add.2, G/TBT/N/RWA/646/Add.2, G/TBT/N/TZA/721/Add.2, G/TBT/N/UGA/1553/Add.2")</f>
        <v xml:space="preserve"> G/TBT/N/BDI/220/Add.2, G/TBT/N/KEN/1229/Add.2, G/TBT/N/RWA/646/Add.2, G/TBT/N/TZA/721/Add.2, G/TBT/N/UGA/1553/Add.2</v>
      </c>
      <c r="D719" s="8" t="s">
        <v>3114</v>
      </c>
      <c r="E719" s="8" t="s">
        <v>3115</v>
      </c>
      <c r="F719" s="8" t="s">
        <v>2819</v>
      </c>
      <c r="G719" s="8" t="s">
        <v>43</v>
      </c>
      <c r="H719" s="8" t="s">
        <v>2821</v>
      </c>
      <c r="I719" s="8" t="s">
        <v>2846</v>
      </c>
      <c r="J719" s="8" t="s">
        <v>43</v>
      </c>
      <c r="K719" s="8" t="s">
        <v>1029</v>
      </c>
      <c r="L719" s="6"/>
      <c r="M719" s="7" t="s">
        <v>43</v>
      </c>
      <c r="N719" s="7"/>
      <c r="O719" s="7"/>
      <c r="P719" s="6" t="s">
        <v>44</v>
      </c>
      <c r="Q719" s="6"/>
      <c r="R719" t="str">
        <f>HYPERLINK("https://docs.wto.org/imrd/directdoc.asp?DDFDocuments/t/G/TBTN22/BDI220A2.docx", "https://docs.wto.org/imrd/directdoc.asp?DDFDocuments/t/G/TBTN22/BDI220A2.docx")</f>
        <v>https://docs.wto.org/imrd/directdoc.asp?DDFDocuments/t/G/TBTN22/BDI220A2.docx</v>
      </c>
      <c r="S719" t="str">
        <f>HYPERLINK("https://docs.wto.org/imrd/directdoc.asp?DDFDocuments/u/G/TBTN22/BDI220A2.docx", "https://docs.wto.org/imrd/directdoc.asp?DDFDocuments/u/G/TBTN22/BDI220A2.docx")</f>
        <v>https://docs.wto.org/imrd/directdoc.asp?DDFDocuments/u/G/TBTN22/BDI220A2.docx</v>
      </c>
      <c r="T719" t="str">
        <f>HYPERLINK("https://docs.wto.org/imrd/directdoc.asp?DDFDocuments/v/G/TBTN22/BDI220A2.docx", "https://docs.wto.org/imrd/directdoc.asp?DDFDocuments/v/G/TBTN22/BDI220A2.docx")</f>
        <v>https://docs.wto.org/imrd/directdoc.asp?DDFDocuments/v/G/TBTN22/BDI220A2.docx</v>
      </c>
      <c r="U719" t="s">
        <v>64</v>
      </c>
      <c r="V719" t="s">
        <v>46</v>
      </c>
      <c r="W719" t="s">
        <v>46</v>
      </c>
      <c r="X719" t="s">
        <v>46</v>
      </c>
      <c r="Y719" t="s">
        <v>46</v>
      </c>
      <c r="Z719" t="s">
        <v>46</v>
      </c>
      <c r="AA719" t="s">
        <v>46</v>
      </c>
      <c r="AB719" s="2" t="s">
        <v>43</v>
      </c>
      <c r="AC719" t="s">
        <v>43</v>
      </c>
      <c r="AD719" t="s">
        <v>43</v>
      </c>
      <c r="AE719" t="s">
        <v>43</v>
      </c>
      <c r="AF719" t="s">
        <v>43</v>
      </c>
      <c r="AG719" t="s">
        <v>43</v>
      </c>
      <c r="AH719" s="2" t="s">
        <v>43</v>
      </c>
    </row>
    <row r="720" spans="1:34" ht="90">
      <c r="A720" s="6" t="s">
        <v>509</v>
      </c>
      <c r="B720" s="7">
        <v>46059</v>
      </c>
      <c r="C720" s="9" t="str">
        <f>HYPERLINK("https://eping.wto.org/en/Search?viewData= G/TBT/N/BDI/221/Add.3, G/TBT/N/KEN/1230/Add.3, G/TBT/N/RWA/647/Add.3, G/TBT/N/TZA/722/Add.3, G/TBT/N/UGA/1554/Add.3"," G/TBT/N/BDI/221/Add.3, G/TBT/N/KEN/1230/Add.3, G/TBT/N/RWA/647/Add.3, G/TBT/N/TZA/722/Add.3, G/TBT/N/UGA/1554/Add.3")</f>
        <v xml:space="preserve"> G/TBT/N/BDI/221/Add.3, G/TBT/N/KEN/1230/Add.3, G/TBT/N/RWA/647/Add.3, G/TBT/N/TZA/722/Add.3, G/TBT/N/UGA/1554/Add.3</v>
      </c>
      <c r="D720" s="8" t="s">
        <v>3131</v>
      </c>
      <c r="E720" s="8" t="s">
        <v>3132</v>
      </c>
      <c r="F720" s="8" t="s">
        <v>2819</v>
      </c>
      <c r="G720" s="8" t="s">
        <v>43</v>
      </c>
      <c r="H720" s="8" t="s">
        <v>2821</v>
      </c>
      <c r="I720" s="8" t="s">
        <v>2846</v>
      </c>
      <c r="J720" s="8" t="s">
        <v>43</v>
      </c>
      <c r="K720" s="8" t="s">
        <v>1029</v>
      </c>
      <c r="L720" s="6"/>
      <c r="M720" s="7" t="s">
        <v>43</v>
      </c>
      <c r="N720" s="7"/>
      <c r="O720" s="7"/>
      <c r="P720" s="6" t="s">
        <v>44</v>
      </c>
      <c r="Q720" s="6"/>
      <c r="R720" t="str">
        <f>HYPERLINK("https://docs.wto.org/imrd/directdoc.asp?DDFDocuments/t/G/TBTN22/BDI221A3.docx", "https://docs.wto.org/imrd/directdoc.asp?DDFDocuments/t/G/TBTN22/BDI221A3.docx")</f>
        <v>https://docs.wto.org/imrd/directdoc.asp?DDFDocuments/t/G/TBTN22/BDI221A3.docx</v>
      </c>
      <c r="S720" t="str">
        <f>HYPERLINK("https://docs.wto.org/imrd/directdoc.asp?DDFDocuments/u/G/TBTN22/BDI221A3.docx", "https://docs.wto.org/imrd/directdoc.asp?DDFDocuments/u/G/TBTN22/BDI221A3.docx")</f>
        <v>https://docs.wto.org/imrd/directdoc.asp?DDFDocuments/u/G/TBTN22/BDI221A3.docx</v>
      </c>
      <c r="T720" t="str">
        <f>HYPERLINK("https://docs.wto.org/imrd/directdoc.asp?DDFDocuments/v/G/TBTN22/BDI221A3.docx", "https://docs.wto.org/imrd/directdoc.asp?DDFDocuments/v/G/TBTN22/BDI221A3.docx")</f>
        <v>https://docs.wto.org/imrd/directdoc.asp?DDFDocuments/v/G/TBTN22/BDI221A3.docx</v>
      </c>
      <c r="U720" t="s">
        <v>64</v>
      </c>
      <c r="V720" t="s">
        <v>46</v>
      </c>
      <c r="W720" t="s">
        <v>46</v>
      </c>
      <c r="X720" t="s">
        <v>46</v>
      </c>
      <c r="Y720" t="s">
        <v>46</v>
      </c>
      <c r="Z720" t="s">
        <v>46</v>
      </c>
      <c r="AA720" t="s">
        <v>46</v>
      </c>
      <c r="AB720" s="2" t="s">
        <v>43</v>
      </c>
      <c r="AC720" t="s">
        <v>43</v>
      </c>
      <c r="AD720" t="s">
        <v>43</v>
      </c>
      <c r="AE720" t="s">
        <v>43</v>
      </c>
      <c r="AF720" t="s">
        <v>43</v>
      </c>
      <c r="AG720" t="s">
        <v>43</v>
      </c>
      <c r="AH720" s="2" t="s">
        <v>43</v>
      </c>
    </row>
    <row r="721" spans="1:34" ht="60">
      <c r="A721" s="6" t="s">
        <v>390</v>
      </c>
      <c r="B721" s="7">
        <v>46059</v>
      </c>
      <c r="C721" s="9" t="str">
        <f>HYPERLINK("https://eping.wto.org/en/Search?viewData= G/TBT/N/BDI/222/Add.3, G/TBT/N/KEN/1231/Add.3, G/TBT/N/RWA/648/Add.3, G/TBT/N/TZA/723/Add.3, G/TBT/N/UGA/1555/Add.3"," G/TBT/N/BDI/222/Add.3, G/TBT/N/KEN/1231/Add.3, G/TBT/N/RWA/648/Add.3, G/TBT/N/TZA/723/Add.3, G/TBT/N/UGA/1555/Add.3")</f>
        <v xml:space="preserve"> G/TBT/N/BDI/222/Add.3, G/TBT/N/KEN/1231/Add.3, G/TBT/N/RWA/648/Add.3, G/TBT/N/TZA/723/Add.3, G/TBT/N/UGA/1555/Add.3</v>
      </c>
      <c r="D721" s="8" t="s">
        <v>3094</v>
      </c>
      <c r="E721" s="8" t="s">
        <v>3095</v>
      </c>
      <c r="F721" s="8" t="s">
        <v>2819</v>
      </c>
      <c r="G721" s="8" t="s">
        <v>43</v>
      </c>
      <c r="H721" s="8" t="s">
        <v>2821</v>
      </c>
      <c r="I721" s="8" t="s">
        <v>113</v>
      </c>
      <c r="J721" s="8" t="s">
        <v>43</v>
      </c>
      <c r="K721" s="8" t="s">
        <v>1029</v>
      </c>
      <c r="L721" s="6"/>
      <c r="M721" s="7" t="s">
        <v>43</v>
      </c>
      <c r="N721" s="7"/>
      <c r="O721" s="7"/>
      <c r="P721" s="6" t="s">
        <v>44</v>
      </c>
      <c r="Q721" s="6"/>
      <c r="R721" t="str">
        <f>HYPERLINK("https://docs.wto.org/imrd/directdoc.asp?DDFDocuments/t/G/TBTN22/BDI222A3.docx", "https://docs.wto.org/imrd/directdoc.asp?DDFDocuments/t/G/TBTN22/BDI222A3.docx")</f>
        <v>https://docs.wto.org/imrd/directdoc.asp?DDFDocuments/t/G/TBTN22/BDI222A3.docx</v>
      </c>
      <c r="S721" t="str">
        <f>HYPERLINK("https://docs.wto.org/imrd/directdoc.asp?DDFDocuments/u/G/TBTN22/BDI222A3.docx", "https://docs.wto.org/imrd/directdoc.asp?DDFDocuments/u/G/TBTN22/BDI222A3.docx")</f>
        <v>https://docs.wto.org/imrd/directdoc.asp?DDFDocuments/u/G/TBTN22/BDI222A3.docx</v>
      </c>
      <c r="T721" t="str">
        <f>HYPERLINK("https://docs.wto.org/imrd/directdoc.asp?DDFDocuments/v/G/TBTN22/BDI222A3.docx", "https://docs.wto.org/imrd/directdoc.asp?DDFDocuments/v/G/TBTN22/BDI222A3.docx")</f>
        <v>https://docs.wto.org/imrd/directdoc.asp?DDFDocuments/v/G/TBTN22/BDI222A3.docx</v>
      </c>
      <c r="U721" t="s">
        <v>64</v>
      </c>
      <c r="V721" t="s">
        <v>46</v>
      </c>
      <c r="W721" t="s">
        <v>46</v>
      </c>
      <c r="X721" t="s">
        <v>46</v>
      </c>
      <c r="Y721" t="s">
        <v>46</v>
      </c>
      <c r="Z721" t="s">
        <v>46</v>
      </c>
      <c r="AA721" t="s">
        <v>46</v>
      </c>
      <c r="AB721" s="2" t="s">
        <v>43</v>
      </c>
      <c r="AC721" t="s">
        <v>43</v>
      </c>
      <c r="AD721" t="s">
        <v>43</v>
      </c>
      <c r="AE721" t="s">
        <v>43</v>
      </c>
      <c r="AF721" t="s">
        <v>43</v>
      </c>
      <c r="AG721" t="s">
        <v>43</v>
      </c>
      <c r="AH721" s="2" t="s">
        <v>43</v>
      </c>
    </row>
    <row r="722" spans="1:34" ht="60">
      <c r="A722" s="6" t="s">
        <v>390</v>
      </c>
      <c r="B722" s="7">
        <v>46059</v>
      </c>
      <c r="C722" s="9" t="str">
        <f>HYPERLINK("https://eping.wto.org/en/Search?viewData= G/TBT/N/BDI/223/Add.2, G/TBT/N/KEN/1232/Add.2, G/TBT/N/RWA/649/Add.2, G/TBT/N/TZA/724/Add.2, G/TBT/N/UGA/1556/Add.2"," G/TBT/N/BDI/223/Add.2, G/TBT/N/KEN/1232/Add.2, G/TBT/N/RWA/649/Add.2, G/TBT/N/TZA/724/Add.2, G/TBT/N/UGA/1556/Add.2")</f>
        <v xml:space="preserve"> G/TBT/N/BDI/223/Add.2, G/TBT/N/KEN/1232/Add.2, G/TBT/N/RWA/649/Add.2, G/TBT/N/TZA/724/Add.2, G/TBT/N/UGA/1556/Add.2</v>
      </c>
      <c r="D722" s="8" t="s">
        <v>3097</v>
      </c>
      <c r="E722" s="8" t="s">
        <v>3098</v>
      </c>
      <c r="F722" s="8" t="s">
        <v>2819</v>
      </c>
      <c r="G722" s="8" t="s">
        <v>43</v>
      </c>
      <c r="H722" s="8" t="s">
        <v>2821</v>
      </c>
      <c r="I722" s="8" t="s">
        <v>2838</v>
      </c>
      <c r="J722" s="8" t="s">
        <v>43</v>
      </c>
      <c r="K722" s="8" t="s">
        <v>1029</v>
      </c>
      <c r="L722" s="6"/>
      <c r="M722" s="7" t="s">
        <v>43</v>
      </c>
      <c r="N722" s="7"/>
      <c r="O722" s="7"/>
      <c r="P722" s="6" t="s">
        <v>44</v>
      </c>
      <c r="Q722" s="6"/>
      <c r="R722" t="str">
        <f>HYPERLINK("https://docs.wto.org/imrd/directdoc.asp?DDFDocuments/t/G/TBTN22/BDI223A2.docx", "https://docs.wto.org/imrd/directdoc.asp?DDFDocuments/t/G/TBTN22/BDI223A2.docx")</f>
        <v>https://docs.wto.org/imrd/directdoc.asp?DDFDocuments/t/G/TBTN22/BDI223A2.docx</v>
      </c>
      <c r="S722" t="str">
        <f>HYPERLINK("https://docs.wto.org/imrd/directdoc.asp?DDFDocuments/u/G/TBTN22/BDI223A2.docx", "https://docs.wto.org/imrd/directdoc.asp?DDFDocuments/u/G/TBTN22/BDI223A2.docx")</f>
        <v>https://docs.wto.org/imrd/directdoc.asp?DDFDocuments/u/G/TBTN22/BDI223A2.docx</v>
      </c>
      <c r="T722" t="str">
        <f>HYPERLINK("https://docs.wto.org/imrd/directdoc.asp?DDFDocuments/v/G/TBTN22/BDI223A2.docx", "https://docs.wto.org/imrd/directdoc.asp?DDFDocuments/v/G/TBTN22/BDI223A2.docx")</f>
        <v>https://docs.wto.org/imrd/directdoc.asp?DDFDocuments/v/G/TBTN22/BDI223A2.docx</v>
      </c>
      <c r="U722" t="s">
        <v>64</v>
      </c>
      <c r="V722" t="s">
        <v>46</v>
      </c>
      <c r="W722" t="s">
        <v>46</v>
      </c>
      <c r="X722" t="s">
        <v>46</v>
      </c>
      <c r="Y722" t="s">
        <v>46</v>
      </c>
      <c r="Z722" t="s">
        <v>46</v>
      </c>
      <c r="AA722" t="s">
        <v>46</v>
      </c>
      <c r="AB722" s="2" t="s">
        <v>43</v>
      </c>
      <c r="AC722" t="s">
        <v>43</v>
      </c>
      <c r="AD722" t="s">
        <v>43</v>
      </c>
      <c r="AE722" t="s">
        <v>43</v>
      </c>
      <c r="AF722" t="s">
        <v>43</v>
      </c>
      <c r="AG722" t="s">
        <v>43</v>
      </c>
      <c r="AH722" s="2" t="s">
        <v>43</v>
      </c>
    </row>
    <row r="723" spans="1:34" ht="105">
      <c r="A723" s="6" t="s">
        <v>158</v>
      </c>
      <c r="B723" s="7">
        <v>46059</v>
      </c>
      <c r="C723" s="9" t="str">
        <f>HYPERLINK("https://eping.wto.org/en/Search?viewData= G/SPS/N/UKR/249/Add.2"," G/SPS/N/UKR/249/Add.2")</f>
        <v xml:space="preserve"> G/SPS/N/UKR/249/Add.2</v>
      </c>
      <c r="D723" s="8" t="s">
        <v>3136</v>
      </c>
      <c r="E723" s="8" t="s">
        <v>3137</v>
      </c>
      <c r="F723" s="8" t="s">
        <v>3118</v>
      </c>
      <c r="G723" s="8" t="s">
        <v>3119</v>
      </c>
      <c r="H723" s="8" t="s">
        <v>43</v>
      </c>
      <c r="I723" s="8" t="s">
        <v>58</v>
      </c>
      <c r="J723" s="8" t="s">
        <v>43</v>
      </c>
      <c r="K723" s="8" t="s">
        <v>2910</v>
      </c>
      <c r="L723" s="6"/>
      <c r="M723" s="7" t="s">
        <v>43</v>
      </c>
      <c r="N723" s="7"/>
      <c r="O723" s="7"/>
      <c r="P723" s="6" t="s">
        <v>44</v>
      </c>
      <c r="Q723" s="8" t="s">
        <v>3138</v>
      </c>
      <c r="R723" t="str">
        <f>HYPERLINK("https://docs.wto.org/imrd/directdoc.asp?DDFDocuments/t/G/SPS/NUKR249A2.docx", "https://docs.wto.org/imrd/directdoc.asp?DDFDocuments/t/G/SPS/NUKR249A2.docx")</f>
        <v>https://docs.wto.org/imrd/directdoc.asp?DDFDocuments/t/G/SPS/NUKR249A2.docx</v>
      </c>
      <c r="S723" t="str">
        <f>HYPERLINK("https://docs.wto.org/imrd/directdoc.asp?DDFDocuments/u/G/SPS/NUKR249A2.docx", "https://docs.wto.org/imrd/directdoc.asp?DDFDocuments/u/G/SPS/NUKR249A2.docx")</f>
        <v>https://docs.wto.org/imrd/directdoc.asp?DDFDocuments/u/G/SPS/NUKR249A2.docx</v>
      </c>
      <c r="T723" t="str">
        <f>HYPERLINK("https://docs.wto.org/imrd/directdoc.asp?DDFDocuments/v/G/SPS/NUKR249A2.docx", "https://docs.wto.org/imrd/directdoc.asp?DDFDocuments/v/G/SPS/NUKR249A2.docx")</f>
        <v>https://docs.wto.org/imrd/directdoc.asp?DDFDocuments/v/G/SPS/NUKR249A2.docx</v>
      </c>
      <c r="U723" t="s">
        <v>43</v>
      </c>
      <c r="V723" t="s">
        <v>43</v>
      </c>
      <c r="W723" t="s">
        <v>43</v>
      </c>
      <c r="X723" t="s">
        <v>43</v>
      </c>
      <c r="Y723" t="s">
        <v>43</v>
      </c>
      <c r="Z723" t="s">
        <v>43</v>
      </c>
      <c r="AA723" t="s">
        <v>43</v>
      </c>
      <c r="AB723" s="2" t="s">
        <v>43</v>
      </c>
      <c r="AC723" t="s">
        <v>43</v>
      </c>
      <c r="AD723" t="s">
        <v>43</v>
      </c>
      <c r="AE723" t="s">
        <v>43</v>
      </c>
      <c r="AF723" t="s">
        <v>43</v>
      </c>
      <c r="AG723" t="s">
        <v>43</v>
      </c>
      <c r="AH723" s="2" t="s">
        <v>43</v>
      </c>
    </row>
    <row r="724" spans="1:34" ht="60">
      <c r="A724" s="6" t="s">
        <v>124</v>
      </c>
      <c r="B724" s="7">
        <v>46059</v>
      </c>
      <c r="C724" s="9" t="str">
        <f>HYPERLINK("https://eping.wto.org/en/Search?viewData= G/TBT/N/BDI/241/Add.2, G/TBT/N/KEN/1260/Add.2, G/TBT/N/RWA/671/Add.2, G/TBT/N/TZA/781/Add.2, G/TBT/N/UGA/1594/Add.2"," G/TBT/N/BDI/241/Add.2, G/TBT/N/KEN/1260/Add.2, G/TBT/N/RWA/671/Add.2, G/TBT/N/TZA/781/Add.2, G/TBT/N/UGA/1594/Add.2")</f>
        <v xml:space="preserve"> G/TBT/N/BDI/241/Add.2, G/TBT/N/KEN/1260/Add.2, G/TBT/N/RWA/671/Add.2, G/TBT/N/TZA/781/Add.2, G/TBT/N/UGA/1594/Add.2</v>
      </c>
      <c r="D724" s="8" t="s">
        <v>3126</v>
      </c>
      <c r="E724" s="8" t="s">
        <v>3127</v>
      </c>
      <c r="F724" s="8" t="s">
        <v>3077</v>
      </c>
      <c r="G724" s="8" t="s">
        <v>3078</v>
      </c>
      <c r="H724" s="8" t="s">
        <v>1959</v>
      </c>
      <c r="I724" s="8" t="s">
        <v>3128</v>
      </c>
      <c r="J724" s="8"/>
      <c r="K724" s="8" t="s">
        <v>3080</v>
      </c>
      <c r="L724" s="6"/>
      <c r="M724" s="7" t="s">
        <v>43</v>
      </c>
      <c r="N724" s="7"/>
      <c r="O724" s="7"/>
      <c r="P724" s="6" t="s">
        <v>44</v>
      </c>
      <c r="Q724" s="6"/>
      <c r="R724" t="str">
        <f>HYPERLINK("https://docs.wto.org/imrd/directdoc.asp?DDFDocuments/t/G/TBTN22/BDI241A2.docx", "https://docs.wto.org/imrd/directdoc.asp?DDFDocuments/t/G/TBTN22/BDI241A2.docx")</f>
        <v>https://docs.wto.org/imrd/directdoc.asp?DDFDocuments/t/G/TBTN22/BDI241A2.docx</v>
      </c>
      <c r="S724" t="str">
        <f>HYPERLINK("https://docs.wto.org/imrd/directdoc.asp?DDFDocuments/u/G/TBTN22/BDI241A2.docx", "https://docs.wto.org/imrd/directdoc.asp?DDFDocuments/u/G/TBTN22/BDI241A2.docx")</f>
        <v>https://docs.wto.org/imrd/directdoc.asp?DDFDocuments/u/G/TBTN22/BDI241A2.docx</v>
      </c>
      <c r="T724" t="str">
        <f>HYPERLINK("https://docs.wto.org/imrd/directdoc.asp?DDFDocuments/v/G/TBTN22/BDI241A2.docx", "https://docs.wto.org/imrd/directdoc.asp?DDFDocuments/v/G/TBTN22/BDI241A2.docx")</f>
        <v>https://docs.wto.org/imrd/directdoc.asp?DDFDocuments/v/G/TBTN22/BDI241A2.docx</v>
      </c>
      <c r="U724" t="s">
        <v>64</v>
      </c>
      <c r="V724" t="s">
        <v>46</v>
      </c>
      <c r="W724" t="s">
        <v>46</v>
      </c>
      <c r="X724" t="s">
        <v>46</v>
      </c>
      <c r="Y724" t="s">
        <v>46</v>
      </c>
      <c r="Z724" t="s">
        <v>46</v>
      </c>
      <c r="AA724" t="s">
        <v>46</v>
      </c>
      <c r="AB724" s="2" t="s">
        <v>43</v>
      </c>
      <c r="AC724" t="s">
        <v>43</v>
      </c>
      <c r="AD724" t="s">
        <v>43</v>
      </c>
      <c r="AE724" t="s">
        <v>43</v>
      </c>
      <c r="AF724" t="s">
        <v>43</v>
      </c>
      <c r="AG724" t="s">
        <v>43</v>
      </c>
      <c r="AH724" s="2" t="s">
        <v>43</v>
      </c>
    </row>
    <row r="725" spans="1:34" ht="60">
      <c r="A725" s="6" t="s">
        <v>108</v>
      </c>
      <c r="B725" s="7">
        <v>46059</v>
      </c>
      <c r="C725" s="9" t="str">
        <f>HYPERLINK("https://eping.wto.org/en/Search?viewData= G/TBT/N/BDI/241/Add.2, G/TBT/N/KEN/1260/Add.2, G/TBT/N/RWA/671/Add.2, G/TBT/N/TZA/781/Add.2, G/TBT/N/UGA/1594/Add.2"," G/TBT/N/BDI/241/Add.2, G/TBT/N/KEN/1260/Add.2, G/TBT/N/RWA/671/Add.2, G/TBT/N/TZA/781/Add.2, G/TBT/N/UGA/1594/Add.2")</f>
        <v xml:space="preserve"> G/TBT/N/BDI/241/Add.2, G/TBT/N/KEN/1260/Add.2, G/TBT/N/RWA/671/Add.2, G/TBT/N/TZA/781/Add.2, G/TBT/N/UGA/1594/Add.2</v>
      </c>
      <c r="D725" s="8" t="s">
        <v>3126</v>
      </c>
      <c r="E725" s="8" t="s">
        <v>3127</v>
      </c>
      <c r="F725" s="8" t="s">
        <v>3077</v>
      </c>
      <c r="G725" s="8" t="s">
        <v>3078</v>
      </c>
      <c r="H725" s="8" t="s">
        <v>1959</v>
      </c>
      <c r="I725" s="8" t="s">
        <v>3128</v>
      </c>
      <c r="J725" s="8"/>
      <c r="K725" s="8" t="s">
        <v>3080</v>
      </c>
      <c r="L725" s="6"/>
      <c r="M725" s="7" t="s">
        <v>43</v>
      </c>
      <c r="N725" s="7"/>
      <c r="O725" s="7"/>
      <c r="P725" s="6" t="s">
        <v>44</v>
      </c>
      <c r="Q725" s="6"/>
      <c r="R725" t="str">
        <f>HYPERLINK("https://docs.wto.org/imrd/directdoc.asp?DDFDocuments/t/G/TBTN22/BDI241A2.docx", "https://docs.wto.org/imrd/directdoc.asp?DDFDocuments/t/G/TBTN22/BDI241A2.docx")</f>
        <v>https://docs.wto.org/imrd/directdoc.asp?DDFDocuments/t/G/TBTN22/BDI241A2.docx</v>
      </c>
      <c r="S725" t="str">
        <f>HYPERLINK("https://docs.wto.org/imrd/directdoc.asp?DDFDocuments/u/G/TBTN22/BDI241A2.docx", "https://docs.wto.org/imrd/directdoc.asp?DDFDocuments/u/G/TBTN22/BDI241A2.docx")</f>
        <v>https://docs.wto.org/imrd/directdoc.asp?DDFDocuments/u/G/TBTN22/BDI241A2.docx</v>
      </c>
      <c r="T725" t="str">
        <f>HYPERLINK("https://docs.wto.org/imrd/directdoc.asp?DDFDocuments/v/G/TBTN22/BDI241A2.docx", "https://docs.wto.org/imrd/directdoc.asp?DDFDocuments/v/G/TBTN22/BDI241A2.docx")</f>
        <v>https://docs.wto.org/imrd/directdoc.asp?DDFDocuments/v/G/TBTN22/BDI241A2.docx</v>
      </c>
      <c r="U725" t="s">
        <v>64</v>
      </c>
      <c r="V725" t="s">
        <v>46</v>
      </c>
      <c r="W725" t="s">
        <v>46</v>
      </c>
      <c r="X725" t="s">
        <v>46</v>
      </c>
      <c r="Y725" t="s">
        <v>46</v>
      </c>
      <c r="Z725" t="s">
        <v>46</v>
      </c>
      <c r="AA725" t="s">
        <v>46</v>
      </c>
      <c r="AB725" s="2" t="s">
        <v>43</v>
      </c>
      <c r="AC725" t="s">
        <v>43</v>
      </c>
      <c r="AD725" t="s">
        <v>43</v>
      </c>
      <c r="AE725" t="s">
        <v>43</v>
      </c>
      <c r="AF725" t="s">
        <v>43</v>
      </c>
      <c r="AG725" t="s">
        <v>43</v>
      </c>
      <c r="AH725" s="2" t="s">
        <v>43</v>
      </c>
    </row>
    <row r="726" spans="1:34" ht="90">
      <c r="A726" s="6" t="s">
        <v>108</v>
      </c>
      <c r="B726" s="7">
        <v>46059</v>
      </c>
      <c r="C726" s="9" t="str">
        <f>HYPERLINK("https://eping.wto.org/en/Search?viewData= G/TBT/N/BDI/221/Add.3, G/TBT/N/KEN/1230/Add.3, G/TBT/N/RWA/647/Add.3, G/TBT/N/TZA/722/Add.3, G/TBT/N/UGA/1554/Add.3"," G/TBT/N/BDI/221/Add.3, G/TBT/N/KEN/1230/Add.3, G/TBT/N/RWA/647/Add.3, G/TBT/N/TZA/722/Add.3, G/TBT/N/UGA/1554/Add.3")</f>
        <v xml:space="preserve"> G/TBT/N/BDI/221/Add.3, G/TBT/N/KEN/1230/Add.3, G/TBT/N/RWA/647/Add.3, G/TBT/N/TZA/722/Add.3, G/TBT/N/UGA/1554/Add.3</v>
      </c>
      <c r="D726" s="8" t="s">
        <v>3131</v>
      </c>
      <c r="E726" s="8" t="s">
        <v>3132</v>
      </c>
      <c r="F726" s="8" t="s">
        <v>2819</v>
      </c>
      <c r="G726" s="8" t="s">
        <v>43</v>
      </c>
      <c r="H726" s="8" t="s">
        <v>2821</v>
      </c>
      <c r="I726" s="8" t="s">
        <v>2846</v>
      </c>
      <c r="J726" s="8" t="s">
        <v>43</v>
      </c>
      <c r="K726" s="8" t="s">
        <v>1029</v>
      </c>
      <c r="L726" s="6"/>
      <c r="M726" s="7" t="s">
        <v>43</v>
      </c>
      <c r="N726" s="7"/>
      <c r="O726" s="7"/>
      <c r="P726" s="6" t="s">
        <v>44</v>
      </c>
      <c r="Q726" s="6"/>
      <c r="R726" t="str">
        <f>HYPERLINK("https://docs.wto.org/imrd/directdoc.asp?DDFDocuments/t/G/TBTN22/BDI221A3.docx", "https://docs.wto.org/imrd/directdoc.asp?DDFDocuments/t/G/TBTN22/BDI221A3.docx")</f>
        <v>https://docs.wto.org/imrd/directdoc.asp?DDFDocuments/t/G/TBTN22/BDI221A3.docx</v>
      </c>
      <c r="S726" t="str">
        <f>HYPERLINK("https://docs.wto.org/imrd/directdoc.asp?DDFDocuments/u/G/TBTN22/BDI221A3.docx", "https://docs.wto.org/imrd/directdoc.asp?DDFDocuments/u/G/TBTN22/BDI221A3.docx")</f>
        <v>https://docs.wto.org/imrd/directdoc.asp?DDFDocuments/u/G/TBTN22/BDI221A3.docx</v>
      </c>
      <c r="T726" t="str">
        <f>HYPERLINK("https://docs.wto.org/imrd/directdoc.asp?DDFDocuments/v/G/TBTN22/BDI221A3.docx", "https://docs.wto.org/imrd/directdoc.asp?DDFDocuments/v/G/TBTN22/BDI221A3.docx")</f>
        <v>https://docs.wto.org/imrd/directdoc.asp?DDFDocuments/v/G/TBTN22/BDI221A3.docx</v>
      </c>
      <c r="U726" t="s">
        <v>64</v>
      </c>
      <c r="V726" t="s">
        <v>46</v>
      </c>
      <c r="W726" t="s">
        <v>46</v>
      </c>
      <c r="X726" t="s">
        <v>46</v>
      </c>
      <c r="Y726" t="s">
        <v>46</v>
      </c>
      <c r="Z726" t="s">
        <v>46</v>
      </c>
      <c r="AA726" t="s">
        <v>46</v>
      </c>
      <c r="AB726" s="2" t="s">
        <v>43</v>
      </c>
      <c r="AC726" t="s">
        <v>43</v>
      </c>
      <c r="AD726" t="s">
        <v>43</v>
      </c>
      <c r="AE726" t="s">
        <v>43</v>
      </c>
      <c r="AF726" t="s">
        <v>43</v>
      </c>
      <c r="AG726" t="s">
        <v>43</v>
      </c>
      <c r="AH726" s="2" t="s">
        <v>43</v>
      </c>
    </row>
    <row r="727" spans="1:34" ht="90">
      <c r="A727" s="6" t="s">
        <v>124</v>
      </c>
      <c r="B727" s="7">
        <v>46059</v>
      </c>
      <c r="C727" s="9" t="str">
        <f>HYPERLINK("https://eping.wto.org/en/Search?viewData= G/TBT/N/BDI/224/Add.2, G/TBT/N/KEN/1233/Add.2, G/TBT/N/RWA/650/Add.2, G/TBT/N/TZA/725/Add.2, G/TBT/N/UGA/1557/Add.2"," G/TBT/N/BDI/224/Add.2, G/TBT/N/KEN/1233/Add.2, G/TBT/N/RWA/650/Add.2, G/TBT/N/TZA/725/Add.2, G/TBT/N/UGA/1557/Add.2")</f>
        <v xml:space="preserve"> G/TBT/N/BDI/224/Add.2, G/TBT/N/KEN/1233/Add.2, G/TBT/N/RWA/650/Add.2, G/TBT/N/TZA/725/Add.2, G/TBT/N/UGA/1557/Add.2</v>
      </c>
      <c r="D727" s="8" t="s">
        <v>3099</v>
      </c>
      <c r="E727" s="8" t="s">
        <v>3100</v>
      </c>
      <c r="F727" s="8" t="s">
        <v>2819</v>
      </c>
      <c r="G727" s="8" t="s">
        <v>43</v>
      </c>
      <c r="H727" s="8" t="s">
        <v>2821</v>
      </c>
      <c r="I727" s="8" t="s">
        <v>2846</v>
      </c>
      <c r="J727" s="8" t="s">
        <v>43</v>
      </c>
      <c r="K727" s="8" t="s">
        <v>1029</v>
      </c>
      <c r="L727" s="6"/>
      <c r="M727" s="7" t="s">
        <v>43</v>
      </c>
      <c r="N727" s="7"/>
      <c r="O727" s="7"/>
      <c r="P727" s="6" t="s">
        <v>44</v>
      </c>
      <c r="Q727" s="6"/>
      <c r="R727" t="str">
        <f>HYPERLINK("https://docs.wto.org/imrd/directdoc.asp?DDFDocuments/t/G/TBTN22/BDI224A2.docx", "https://docs.wto.org/imrd/directdoc.asp?DDFDocuments/t/G/TBTN22/BDI224A2.docx")</f>
        <v>https://docs.wto.org/imrd/directdoc.asp?DDFDocuments/t/G/TBTN22/BDI224A2.docx</v>
      </c>
      <c r="S727" t="str">
        <f>HYPERLINK("https://docs.wto.org/imrd/directdoc.asp?DDFDocuments/u/G/TBTN22/BDI224A2.docx", "https://docs.wto.org/imrd/directdoc.asp?DDFDocuments/u/G/TBTN22/BDI224A2.docx")</f>
        <v>https://docs.wto.org/imrd/directdoc.asp?DDFDocuments/u/G/TBTN22/BDI224A2.docx</v>
      </c>
      <c r="T727" t="str">
        <f>HYPERLINK("https://docs.wto.org/imrd/directdoc.asp?DDFDocuments/v/G/TBTN22/BDI224A2.docx", "https://docs.wto.org/imrd/directdoc.asp?DDFDocuments/v/G/TBTN22/BDI224A2.docx")</f>
        <v>https://docs.wto.org/imrd/directdoc.asp?DDFDocuments/v/G/TBTN22/BDI224A2.docx</v>
      </c>
      <c r="U727" t="s">
        <v>64</v>
      </c>
      <c r="V727" t="s">
        <v>46</v>
      </c>
      <c r="W727" t="s">
        <v>46</v>
      </c>
      <c r="X727" t="s">
        <v>46</v>
      </c>
      <c r="Y727" t="s">
        <v>46</v>
      </c>
      <c r="Z727" t="s">
        <v>46</v>
      </c>
      <c r="AA727" t="s">
        <v>46</v>
      </c>
      <c r="AB727" s="2" t="s">
        <v>43</v>
      </c>
      <c r="AC727" t="s">
        <v>43</v>
      </c>
      <c r="AD727" t="s">
        <v>43</v>
      </c>
      <c r="AE727" t="s">
        <v>43</v>
      </c>
      <c r="AF727" t="s">
        <v>43</v>
      </c>
      <c r="AG727" t="s">
        <v>43</v>
      </c>
      <c r="AH727" s="2" t="s">
        <v>43</v>
      </c>
    </row>
    <row r="728" spans="1:34" ht="60">
      <c r="A728" s="6" t="s">
        <v>390</v>
      </c>
      <c r="B728" s="7">
        <v>46059</v>
      </c>
      <c r="C728" s="9" t="str">
        <f>HYPERLINK("https://eping.wto.org/en/Search?viewData= G/SPS/N/BDI/9/Add.2, G/SPS/N/KEN/161/Add.2, G/SPS/N/RWA/2/Add.2, G/SPS/N/TZA/193/Add.2, G/SPS/N/UGA/203/Add.2"," G/SPS/N/BDI/9/Add.2, G/SPS/N/KEN/161/Add.2, G/SPS/N/RWA/2/Add.2, G/SPS/N/TZA/193/Add.2, G/SPS/N/UGA/203/Add.2")</f>
        <v xml:space="preserve"> G/SPS/N/BDI/9/Add.2, G/SPS/N/KEN/161/Add.2, G/SPS/N/RWA/2/Add.2, G/SPS/N/TZA/193/Add.2, G/SPS/N/UGA/203/Add.2</v>
      </c>
      <c r="D728" s="8" t="s">
        <v>3122</v>
      </c>
      <c r="E728" s="8" t="s">
        <v>3123</v>
      </c>
      <c r="F728" s="8" t="s">
        <v>3124</v>
      </c>
      <c r="G728" s="8" t="s">
        <v>3125</v>
      </c>
      <c r="H728" s="8" t="s">
        <v>2826</v>
      </c>
      <c r="I728" s="8" t="s">
        <v>58</v>
      </c>
      <c r="J728" s="8" t="s">
        <v>43</v>
      </c>
      <c r="K728" s="8" t="s">
        <v>2910</v>
      </c>
      <c r="L728" s="6"/>
      <c r="M728" s="7" t="s">
        <v>43</v>
      </c>
      <c r="N728" s="7"/>
      <c r="O728" s="7"/>
      <c r="P728" s="6" t="s">
        <v>44</v>
      </c>
      <c r="Q728" s="6"/>
      <c r="R728" t="str">
        <f>HYPERLINK("https://docs.wto.org/imrd/directdoc.asp?DDFDocuments/t/G/SPS/NBDI9A2.docx", "https://docs.wto.org/imrd/directdoc.asp?DDFDocuments/t/G/SPS/NBDI9A2.docx")</f>
        <v>https://docs.wto.org/imrd/directdoc.asp?DDFDocuments/t/G/SPS/NBDI9A2.docx</v>
      </c>
      <c r="S728" t="str">
        <f>HYPERLINK("https://docs.wto.org/imrd/directdoc.asp?DDFDocuments/u/G/SPS/NBDI9A2.docx", "https://docs.wto.org/imrd/directdoc.asp?DDFDocuments/u/G/SPS/NBDI9A2.docx")</f>
        <v>https://docs.wto.org/imrd/directdoc.asp?DDFDocuments/u/G/SPS/NBDI9A2.docx</v>
      </c>
      <c r="T728" t="str">
        <f>HYPERLINK("https://docs.wto.org/imrd/directdoc.asp?DDFDocuments/v/G/SPS/NBDI9A2.docx", "https://docs.wto.org/imrd/directdoc.asp?DDFDocuments/v/G/SPS/NBDI9A2.docx")</f>
        <v>https://docs.wto.org/imrd/directdoc.asp?DDFDocuments/v/G/SPS/NBDI9A2.docx</v>
      </c>
      <c r="U728" t="s">
        <v>43</v>
      </c>
      <c r="V728" t="s">
        <v>43</v>
      </c>
      <c r="W728" t="s">
        <v>43</v>
      </c>
      <c r="X728" t="s">
        <v>43</v>
      </c>
      <c r="Y728" t="s">
        <v>43</v>
      </c>
      <c r="Z728" t="s">
        <v>43</v>
      </c>
      <c r="AA728" t="s">
        <v>43</v>
      </c>
      <c r="AB728" s="2" t="s">
        <v>43</v>
      </c>
      <c r="AC728" t="s">
        <v>43</v>
      </c>
      <c r="AD728" t="s">
        <v>43</v>
      </c>
      <c r="AE728" t="s">
        <v>43</v>
      </c>
      <c r="AF728" t="s">
        <v>43</v>
      </c>
      <c r="AG728" t="s">
        <v>43</v>
      </c>
      <c r="AH728" s="2" t="s">
        <v>43</v>
      </c>
    </row>
    <row r="729" spans="1:34" ht="60">
      <c r="A729" s="6" t="s">
        <v>1328</v>
      </c>
      <c r="B729" s="7">
        <v>46059</v>
      </c>
      <c r="C729" s="9" t="str">
        <f>HYPERLINK("https://eping.wto.org/en/Search?viewData= G/SPS/N/PHL/541"," G/SPS/N/PHL/541")</f>
        <v xml:space="preserve"> G/SPS/N/PHL/541</v>
      </c>
      <c r="D729" s="8" t="s">
        <v>3139</v>
      </c>
      <c r="E729" s="8" t="s">
        <v>3140</v>
      </c>
      <c r="F729" s="8" t="s">
        <v>3141</v>
      </c>
      <c r="G729" s="8" t="s">
        <v>3142</v>
      </c>
      <c r="H729" s="8" t="s">
        <v>650</v>
      </c>
      <c r="I729" s="8" t="s">
        <v>104</v>
      </c>
      <c r="J729" s="8" t="s">
        <v>43</v>
      </c>
      <c r="K729" s="8" t="s">
        <v>530</v>
      </c>
      <c r="L729" s="6" t="s">
        <v>43</v>
      </c>
      <c r="M729" s="7">
        <v>46090</v>
      </c>
      <c r="N729" s="7">
        <v>46090</v>
      </c>
      <c r="O729" s="7" t="s">
        <v>114</v>
      </c>
      <c r="P729" s="6" t="s">
        <v>62</v>
      </c>
      <c r="Q729" s="8" t="s">
        <v>3143</v>
      </c>
      <c r="R729" t="str">
        <f>HYPERLINK("https://docs.wto.org/imrd/directdoc.asp?DDFDocuments/t/G/SPS/NPHL541.docx", "https://docs.wto.org/imrd/directdoc.asp?DDFDocuments/t/G/SPS/NPHL541.docx")</f>
        <v>https://docs.wto.org/imrd/directdoc.asp?DDFDocuments/t/G/SPS/NPHL541.docx</v>
      </c>
      <c r="S729" t="str">
        <f>HYPERLINK("https://docs.wto.org/imrd/directdoc.asp?DDFDocuments/u/G/SPS/NPHL541.docx", "https://docs.wto.org/imrd/directdoc.asp?DDFDocuments/u/G/SPS/NPHL541.docx")</f>
        <v>https://docs.wto.org/imrd/directdoc.asp?DDFDocuments/u/G/SPS/NPHL541.docx</v>
      </c>
      <c r="T729" t="str">
        <f>HYPERLINK("https://docs.wto.org/imrd/directdoc.asp?DDFDocuments/v/G/SPS/NPHL541.docx", "https://docs.wto.org/imrd/directdoc.asp?DDFDocuments/v/G/SPS/NPHL541.docx")</f>
        <v>https://docs.wto.org/imrd/directdoc.asp?DDFDocuments/v/G/SPS/NPHL541.docx</v>
      </c>
      <c r="U729" t="s">
        <v>43</v>
      </c>
      <c r="V729" t="s">
        <v>43</v>
      </c>
      <c r="W729" t="s">
        <v>43</v>
      </c>
      <c r="X729" t="s">
        <v>43</v>
      </c>
      <c r="Y729" t="s">
        <v>43</v>
      </c>
      <c r="Z729" t="s">
        <v>43</v>
      </c>
      <c r="AA729" t="s">
        <v>43</v>
      </c>
      <c r="AB729" s="2" t="s">
        <v>43</v>
      </c>
      <c r="AC729" t="s">
        <v>46</v>
      </c>
      <c r="AD729" t="s">
        <v>64</v>
      </c>
      <c r="AE729" t="s">
        <v>46</v>
      </c>
      <c r="AF729" t="s">
        <v>46</v>
      </c>
      <c r="AG729" t="s">
        <v>64</v>
      </c>
      <c r="AH729" s="2" t="s">
        <v>43</v>
      </c>
    </row>
    <row r="730" spans="1:34" ht="60">
      <c r="A730" s="6" t="s">
        <v>577</v>
      </c>
      <c r="B730" s="7">
        <v>46059</v>
      </c>
      <c r="C730" s="9" t="str">
        <f>HYPERLINK("https://eping.wto.org/en/Search?viewData= G/SPS/N/BDI/12/Add.2, G/SPS/N/KEN/164/Add.2, G/SPS/N/RWA/5/Add.2, G/SPS/N/TZA/196/Add.2, G/SPS/N/UGA/206/Add.2"," G/SPS/N/BDI/12/Add.2, G/SPS/N/KEN/164/Add.2, G/SPS/N/RWA/5/Add.2, G/SPS/N/TZA/196/Add.2, G/SPS/N/UGA/206/Add.2")</f>
        <v xml:space="preserve"> G/SPS/N/BDI/12/Add.2, G/SPS/N/KEN/164/Add.2, G/SPS/N/RWA/5/Add.2, G/SPS/N/TZA/196/Add.2, G/SPS/N/UGA/206/Add.2</v>
      </c>
      <c r="D730" s="8" t="s">
        <v>3133</v>
      </c>
      <c r="E730" s="8" t="s">
        <v>3134</v>
      </c>
      <c r="F730" s="8" t="s">
        <v>3135</v>
      </c>
      <c r="G730" s="8" t="s">
        <v>3112</v>
      </c>
      <c r="H730" s="8" t="s">
        <v>2826</v>
      </c>
      <c r="I730" s="8" t="s">
        <v>58</v>
      </c>
      <c r="J730" s="8" t="s">
        <v>43</v>
      </c>
      <c r="K730" s="8" t="s">
        <v>2845</v>
      </c>
      <c r="L730" s="6"/>
      <c r="M730" s="7" t="s">
        <v>43</v>
      </c>
      <c r="N730" s="7"/>
      <c r="O730" s="7"/>
      <c r="P730" s="6" t="s">
        <v>44</v>
      </c>
      <c r="Q730" s="6"/>
      <c r="R730" t="str">
        <f>HYPERLINK("https://docs.wto.org/imrd/directdoc.asp?DDFDocuments/t/G/SPS/NBDI12A2.docx", "https://docs.wto.org/imrd/directdoc.asp?DDFDocuments/t/G/SPS/NBDI12A2.docx")</f>
        <v>https://docs.wto.org/imrd/directdoc.asp?DDFDocuments/t/G/SPS/NBDI12A2.docx</v>
      </c>
      <c r="S730" t="str">
        <f>HYPERLINK("https://docs.wto.org/imrd/directdoc.asp?DDFDocuments/u/G/SPS/NBDI12A2.docx", "https://docs.wto.org/imrd/directdoc.asp?DDFDocuments/u/G/SPS/NBDI12A2.docx")</f>
        <v>https://docs.wto.org/imrd/directdoc.asp?DDFDocuments/u/G/SPS/NBDI12A2.docx</v>
      </c>
      <c r="T730" t="str">
        <f>HYPERLINK("https://docs.wto.org/imrd/directdoc.asp?DDFDocuments/v/G/SPS/NBDI12A2.docx", "https://docs.wto.org/imrd/directdoc.asp?DDFDocuments/v/G/SPS/NBDI12A2.docx")</f>
        <v>https://docs.wto.org/imrd/directdoc.asp?DDFDocuments/v/G/SPS/NBDI12A2.docx</v>
      </c>
      <c r="U730" t="s">
        <v>43</v>
      </c>
      <c r="V730" t="s">
        <v>43</v>
      </c>
      <c r="W730" t="s">
        <v>43</v>
      </c>
      <c r="X730" t="s">
        <v>43</v>
      </c>
      <c r="Y730" t="s">
        <v>43</v>
      </c>
      <c r="Z730" t="s">
        <v>43</v>
      </c>
      <c r="AA730" t="s">
        <v>43</v>
      </c>
      <c r="AB730" s="2" t="s">
        <v>43</v>
      </c>
      <c r="AC730" t="s">
        <v>43</v>
      </c>
      <c r="AD730" t="s">
        <v>43</v>
      </c>
      <c r="AE730" t="s">
        <v>43</v>
      </c>
      <c r="AF730" t="s">
        <v>43</v>
      </c>
      <c r="AG730" t="s">
        <v>43</v>
      </c>
      <c r="AH730" s="2" t="s">
        <v>43</v>
      </c>
    </row>
    <row r="731" spans="1:34" ht="60">
      <c r="A731" s="6" t="s">
        <v>577</v>
      </c>
      <c r="B731" s="7">
        <v>46059</v>
      </c>
      <c r="C731" s="9" t="str">
        <f>HYPERLINK("https://eping.wto.org/en/Search?viewData= G/SPS/N/BDI/9/Add.2, G/SPS/N/KEN/161/Add.2, G/SPS/N/RWA/2/Add.2, G/SPS/N/TZA/193/Add.2, G/SPS/N/UGA/203/Add.2"," G/SPS/N/BDI/9/Add.2, G/SPS/N/KEN/161/Add.2, G/SPS/N/RWA/2/Add.2, G/SPS/N/TZA/193/Add.2, G/SPS/N/UGA/203/Add.2")</f>
        <v xml:space="preserve"> G/SPS/N/BDI/9/Add.2, G/SPS/N/KEN/161/Add.2, G/SPS/N/RWA/2/Add.2, G/SPS/N/TZA/193/Add.2, G/SPS/N/UGA/203/Add.2</v>
      </c>
      <c r="D731" s="8" t="s">
        <v>3122</v>
      </c>
      <c r="E731" s="8" t="s">
        <v>3123</v>
      </c>
      <c r="F731" s="8" t="s">
        <v>3124</v>
      </c>
      <c r="G731" s="8" t="s">
        <v>3125</v>
      </c>
      <c r="H731" s="8" t="s">
        <v>2826</v>
      </c>
      <c r="I731" s="8" t="s">
        <v>58</v>
      </c>
      <c r="J731" s="8" t="s">
        <v>43</v>
      </c>
      <c r="K731" s="8" t="s">
        <v>2845</v>
      </c>
      <c r="L731" s="6"/>
      <c r="M731" s="7" t="s">
        <v>43</v>
      </c>
      <c r="N731" s="7"/>
      <c r="O731" s="7"/>
      <c r="P731" s="6" t="s">
        <v>44</v>
      </c>
      <c r="Q731" s="6"/>
      <c r="R731" t="str">
        <f>HYPERLINK("https://docs.wto.org/imrd/directdoc.asp?DDFDocuments/t/G/SPS/NBDI9A2.docx", "https://docs.wto.org/imrd/directdoc.asp?DDFDocuments/t/G/SPS/NBDI9A2.docx")</f>
        <v>https://docs.wto.org/imrd/directdoc.asp?DDFDocuments/t/G/SPS/NBDI9A2.docx</v>
      </c>
      <c r="S731" t="str">
        <f>HYPERLINK("https://docs.wto.org/imrd/directdoc.asp?DDFDocuments/u/G/SPS/NBDI9A2.docx", "https://docs.wto.org/imrd/directdoc.asp?DDFDocuments/u/G/SPS/NBDI9A2.docx")</f>
        <v>https://docs.wto.org/imrd/directdoc.asp?DDFDocuments/u/G/SPS/NBDI9A2.docx</v>
      </c>
      <c r="T731" t="str">
        <f>HYPERLINK("https://docs.wto.org/imrd/directdoc.asp?DDFDocuments/v/G/SPS/NBDI9A2.docx", "https://docs.wto.org/imrd/directdoc.asp?DDFDocuments/v/G/SPS/NBDI9A2.docx")</f>
        <v>https://docs.wto.org/imrd/directdoc.asp?DDFDocuments/v/G/SPS/NBDI9A2.docx</v>
      </c>
      <c r="U731" t="s">
        <v>43</v>
      </c>
      <c r="V731" t="s">
        <v>43</v>
      </c>
      <c r="W731" t="s">
        <v>43</v>
      </c>
      <c r="X731" t="s">
        <v>43</v>
      </c>
      <c r="Y731" t="s">
        <v>43</v>
      </c>
      <c r="Z731" t="s">
        <v>43</v>
      </c>
      <c r="AA731" t="s">
        <v>43</v>
      </c>
      <c r="AB731" s="2" t="s">
        <v>43</v>
      </c>
      <c r="AC731" t="s">
        <v>43</v>
      </c>
      <c r="AD731" t="s">
        <v>43</v>
      </c>
      <c r="AE731" t="s">
        <v>43</v>
      </c>
      <c r="AF731" t="s">
        <v>43</v>
      </c>
      <c r="AG731" t="s">
        <v>43</v>
      </c>
      <c r="AH731" s="2" t="s">
        <v>43</v>
      </c>
    </row>
    <row r="732" spans="1:34" ht="75">
      <c r="A732" s="6" t="s">
        <v>577</v>
      </c>
      <c r="B732" s="7">
        <v>46059</v>
      </c>
      <c r="C732" s="9" t="str">
        <f>HYPERLINK("https://eping.wto.org/en/Search?viewData= G/TBT/N/BDI/242/Add.3, G/TBT/N/KEN/1261/Add.3, G/TBT/N/RWA/672/Add.3, G/TBT/N/TZA/782/Add.3, G/TBT/N/UGA/1595/Add.3"," G/TBT/N/BDI/242/Add.3, G/TBT/N/KEN/1261/Add.3, G/TBT/N/RWA/672/Add.3, G/TBT/N/TZA/782/Add.3, G/TBT/N/UGA/1595/Add.3")</f>
        <v xml:space="preserve"> G/TBT/N/BDI/242/Add.3, G/TBT/N/KEN/1261/Add.3, G/TBT/N/RWA/672/Add.3, G/TBT/N/TZA/782/Add.3, G/TBT/N/UGA/1595/Add.3</v>
      </c>
      <c r="D732" s="8" t="s">
        <v>3075</v>
      </c>
      <c r="E732" s="8" t="s">
        <v>3076</v>
      </c>
      <c r="F732" s="8" t="s">
        <v>3077</v>
      </c>
      <c r="G732" s="8" t="s">
        <v>3078</v>
      </c>
      <c r="H732" s="8" t="s">
        <v>1959</v>
      </c>
      <c r="I732" s="8" t="s">
        <v>3093</v>
      </c>
      <c r="J732" s="8"/>
      <c r="K732" s="8" t="s">
        <v>3080</v>
      </c>
      <c r="L732" s="6"/>
      <c r="M732" s="7" t="s">
        <v>43</v>
      </c>
      <c r="N732" s="7"/>
      <c r="O732" s="7"/>
      <c r="P732" s="6" t="s">
        <v>44</v>
      </c>
      <c r="Q732" s="6"/>
      <c r="R732" t="str">
        <f>HYPERLINK("https://docs.wto.org/imrd/directdoc.asp?DDFDocuments/t/G/TBTN22/BDI242A3.docx", "https://docs.wto.org/imrd/directdoc.asp?DDFDocuments/t/G/TBTN22/BDI242A3.docx")</f>
        <v>https://docs.wto.org/imrd/directdoc.asp?DDFDocuments/t/G/TBTN22/BDI242A3.docx</v>
      </c>
      <c r="S732" t="str">
        <f>HYPERLINK("https://docs.wto.org/imrd/directdoc.asp?DDFDocuments/u/G/TBTN22/BDI242A3.docx", "https://docs.wto.org/imrd/directdoc.asp?DDFDocuments/u/G/TBTN22/BDI242A3.docx")</f>
        <v>https://docs.wto.org/imrd/directdoc.asp?DDFDocuments/u/G/TBTN22/BDI242A3.docx</v>
      </c>
      <c r="T732" t="str">
        <f>HYPERLINK("https://docs.wto.org/imrd/directdoc.asp?DDFDocuments/v/G/TBTN22/BDI242A3.docx", "https://docs.wto.org/imrd/directdoc.asp?DDFDocuments/v/G/TBTN22/BDI242A3.docx")</f>
        <v>https://docs.wto.org/imrd/directdoc.asp?DDFDocuments/v/G/TBTN22/BDI242A3.docx</v>
      </c>
      <c r="U732" t="s">
        <v>64</v>
      </c>
      <c r="V732" t="s">
        <v>46</v>
      </c>
      <c r="W732" t="s">
        <v>46</v>
      </c>
      <c r="X732" t="s">
        <v>46</v>
      </c>
      <c r="Y732" t="s">
        <v>46</v>
      </c>
      <c r="Z732" t="s">
        <v>46</v>
      </c>
      <c r="AA732" t="s">
        <v>46</v>
      </c>
      <c r="AB732" s="2" t="s">
        <v>43</v>
      </c>
      <c r="AC732" t="s">
        <v>43</v>
      </c>
      <c r="AD732" t="s">
        <v>43</v>
      </c>
      <c r="AE732" t="s">
        <v>43</v>
      </c>
      <c r="AF732" t="s">
        <v>43</v>
      </c>
      <c r="AG732" t="s">
        <v>43</v>
      </c>
      <c r="AH732" s="2" t="s">
        <v>43</v>
      </c>
    </row>
    <row r="733" spans="1:34" ht="90">
      <c r="A733" s="6" t="s">
        <v>577</v>
      </c>
      <c r="B733" s="7">
        <v>46059</v>
      </c>
      <c r="C733" s="9" t="str">
        <f>HYPERLINK("https://eping.wto.org/en/Search?viewData= G/TBT/N/BDI/219/Add.3, G/TBT/N/KEN/1228/Add.3, G/TBT/N/RWA/645/Add.3, G/TBT/N/TZA/720/Add.3, G/TBT/N/UGA/1552/Add.3"," G/TBT/N/BDI/219/Add.3, G/TBT/N/KEN/1228/Add.3, G/TBT/N/RWA/645/Add.3, G/TBT/N/TZA/720/Add.3, G/TBT/N/UGA/1552/Add.3")</f>
        <v xml:space="preserve"> G/TBT/N/BDI/219/Add.3, G/TBT/N/KEN/1228/Add.3, G/TBT/N/RWA/645/Add.3, G/TBT/N/TZA/720/Add.3, G/TBT/N/UGA/1552/Add.3</v>
      </c>
      <c r="D733" s="8" t="s">
        <v>3129</v>
      </c>
      <c r="E733" s="8" t="s">
        <v>3130</v>
      </c>
      <c r="F733" s="8" t="s">
        <v>2819</v>
      </c>
      <c r="G733" s="8" t="s">
        <v>43</v>
      </c>
      <c r="H733" s="8" t="s">
        <v>2821</v>
      </c>
      <c r="I733" s="8" t="s">
        <v>3096</v>
      </c>
      <c r="J733" s="8" t="s">
        <v>43</v>
      </c>
      <c r="K733" s="8" t="s">
        <v>1029</v>
      </c>
      <c r="L733" s="6"/>
      <c r="M733" s="7" t="s">
        <v>43</v>
      </c>
      <c r="N733" s="7"/>
      <c r="O733" s="7"/>
      <c r="P733" s="6" t="s">
        <v>44</v>
      </c>
      <c r="Q733" s="6"/>
      <c r="R733" t="str">
        <f>HYPERLINK("https://docs.wto.org/imrd/directdoc.asp?DDFDocuments/t/G/TBTN22/BDI219A3.docx", "https://docs.wto.org/imrd/directdoc.asp?DDFDocuments/t/G/TBTN22/BDI219A3.docx")</f>
        <v>https://docs.wto.org/imrd/directdoc.asp?DDFDocuments/t/G/TBTN22/BDI219A3.docx</v>
      </c>
      <c r="S733" t="str">
        <f>HYPERLINK("https://docs.wto.org/imrd/directdoc.asp?DDFDocuments/u/G/TBTN22/BDI219A3.docx", "https://docs.wto.org/imrd/directdoc.asp?DDFDocuments/u/G/TBTN22/BDI219A3.docx")</f>
        <v>https://docs.wto.org/imrd/directdoc.asp?DDFDocuments/u/G/TBTN22/BDI219A3.docx</v>
      </c>
      <c r="T733" t="str">
        <f>HYPERLINK("https://docs.wto.org/imrd/directdoc.asp?DDFDocuments/v/G/TBTN22/BDI219A3.docx", "https://docs.wto.org/imrd/directdoc.asp?DDFDocuments/v/G/TBTN22/BDI219A3.docx")</f>
        <v>https://docs.wto.org/imrd/directdoc.asp?DDFDocuments/v/G/TBTN22/BDI219A3.docx</v>
      </c>
      <c r="U733" t="s">
        <v>64</v>
      </c>
      <c r="V733" t="s">
        <v>46</v>
      </c>
      <c r="W733" t="s">
        <v>46</v>
      </c>
      <c r="X733" t="s">
        <v>46</v>
      </c>
      <c r="Y733" t="s">
        <v>46</v>
      </c>
      <c r="Z733" t="s">
        <v>46</v>
      </c>
      <c r="AA733" t="s">
        <v>46</v>
      </c>
      <c r="AB733" s="2" t="s">
        <v>43</v>
      </c>
      <c r="AC733" t="s">
        <v>43</v>
      </c>
      <c r="AD733" t="s">
        <v>43</v>
      </c>
      <c r="AE733" t="s">
        <v>43</v>
      </c>
      <c r="AF733" t="s">
        <v>43</v>
      </c>
      <c r="AG733" t="s">
        <v>43</v>
      </c>
      <c r="AH733" s="2" t="s">
        <v>43</v>
      </c>
    </row>
    <row r="734" spans="1:34" ht="270">
      <c r="A734" s="6" t="s">
        <v>3144</v>
      </c>
      <c r="B734" s="7">
        <v>46059</v>
      </c>
      <c r="C734" s="9" t="str">
        <f>HYPERLINK("https://eping.wto.org/en/Search?viewData= G/TBT/N/POL/6"," G/TBT/N/POL/6")</f>
        <v xml:space="preserve"> G/TBT/N/POL/6</v>
      </c>
      <c r="D734" s="8" t="s">
        <v>3145</v>
      </c>
      <c r="E734" s="8" t="s">
        <v>3146</v>
      </c>
      <c r="F734" s="8" t="s">
        <v>3147</v>
      </c>
      <c r="G734" s="8" t="s">
        <v>43</v>
      </c>
      <c r="H734" s="8" t="s">
        <v>3148</v>
      </c>
      <c r="I734" s="8" t="s">
        <v>275</v>
      </c>
      <c r="J734" s="8" t="s">
        <v>43</v>
      </c>
      <c r="K734" s="8" t="s">
        <v>350</v>
      </c>
      <c r="L734" s="6"/>
      <c r="M734" s="7">
        <v>46119</v>
      </c>
      <c r="N734" s="7">
        <v>46143</v>
      </c>
      <c r="O734" s="7" t="s">
        <v>3149</v>
      </c>
      <c r="P734" s="6" t="s">
        <v>62</v>
      </c>
      <c r="Q734" s="8" t="s">
        <v>3150</v>
      </c>
      <c r="R734" t="str">
        <f>HYPERLINK("https://docs.wto.org/imrd/directdoc.asp?DDFDocuments/t/G/TBTN26/POL6.docx", "https://docs.wto.org/imrd/directdoc.asp?DDFDocuments/t/G/TBTN26/POL6.docx")</f>
        <v>https://docs.wto.org/imrd/directdoc.asp?DDFDocuments/t/G/TBTN26/POL6.docx</v>
      </c>
      <c r="S734" t="str">
        <f>HYPERLINK("https://docs.wto.org/imrd/directdoc.asp?DDFDocuments/u/G/TBTN26/POL6.docx", "https://docs.wto.org/imrd/directdoc.asp?DDFDocuments/u/G/TBTN26/POL6.docx")</f>
        <v>https://docs.wto.org/imrd/directdoc.asp?DDFDocuments/u/G/TBTN26/POL6.docx</v>
      </c>
      <c r="T734" t="str">
        <f>HYPERLINK("https://docs.wto.org/imrd/directdoc.asp?DDFDocuments/v/G/TBTN26/POL6.docx", "https://docs.wto.org/imrd/directdoc.asp?DDFDocuments/v/G/TBTN26/POL6.docx")</f>
        <v>https://docs.wto.org/imrd/directdoc.asp?DDFDocuments/v/G/TBTN26/POL6.docx</v>
      </c>
      <c r="U734" t="s">
        <v>64</v>
      </c>
      <c r="V734" t="s">
        <v>46</v>
      </c>
      <c r="W734" t="s">
        <v>46</v>
      </c>
      <c r="X734" t="s">
        <v>46</v>
      </c>
      <c r="Y734" t="s">
        <v>46</v>
      </c>
      <c r="Z734" t="s">
        <v>46</v>
      </c>
      <c r="AA734" t="s">
        <v>46</v>
      </c>
      <c r="AB734" s="2" t="s">
        <v>3151</v>
      </c>
      <c r="AC734" t="s">
        <v>43</v>
      </c>
      <c r="AD734" t="s">
        <v>43</v>
      </c>
      <c r="AE734" t="s">
        <v>43</v>
      </c>
      <c r="AF734" t="s">
        <v>43</v>
      </c>
      <c r="AG734" t="s">
        <v>43</v>
      </c>
      <c r="AH734" s="2" t="s">
        <v>43</v>
      </c>
    </row>
    <row r="735" spans="1:34" ht="60">
      <c r="A735" s="6" t="s">
        <v>390</v>
      </c>
      <c r="B735" s="7">
        <v>46059</v>
      </c>
      <c r="C735" s="9" t="str">
        <f>HYPERLINK("https://eping.wto.org/en/Search?viewData= G/SPS/N/BDI/14/Add.2, G/SPS/N/KEN/166/Add.2, G/SPS/N/RWA/7/Add.2, G/SPS/N/TZA/198/Add.2, G/SPS/N/UGA/208/Add.2"," G/SPS/N/BDI/14/Add.2, G/SPS/N/KEN/166/Add.2, G/SPS/N/RWA/7/Add.2, G/SPS/N/TZA/198/Add.2, G/SPS/N/UGA/208/Add.2")</f>
        <v xml:space="preserve"> G/SPS/N/BDI/14/Add.2, G/SPS/N/KEN/166/Add.2, G/SPS/N/RWA/7/Add.2, G/SPS/N/TZA/198/Add.2, G/SPS/N/UGA/208/Add.2</v>
      </c>
      <c r="D735" s="8" t="s">
        <v>3109</v>
      </c>
      <c r="E735" s="8" t="s">
        <v>3110</v>
      </c>
      <c r="F735" s="8" t="s">
        <v>3111</v>
      </c>
      <c r="G735" s="8" t="s">
        <v>3112</v>
      </c>
      <c r="H735" s="8" t="s">
        <v>2826</v>
      </c>
      <c r="I735" s="8" t="s">
        <v>58</v>
      </c>
      <c r="J735" s="8" t="s">
        <v>43</v>
      </c>
      <c r="K735" s="8" t="s">
        <v>3152</v>
      </c>
      <c r="L735" s="6"/>
      <c r="M735" s="7" t="s">
        <v>43</v>
      </c>
      <c r="N735" s="7"/>
      <c r="O735" s="7"/>
      <c r="P735" s="6" t="s">
        <v>44</v>
      </c>
      <c r="Q735" s="6"/>
      <c r="R735" t="str">
        <f>HYPERLINK("https://docs.wto.org/imrd/directdoc.asp?DDFDocuments/t/G/SPS/NBDI14A2.docx", "https://docs.wto.org/imrd/directdoc.asp?DDFDocuments/t/G/SPS/NBDI14A2.docx")</f>
        <v>https://docs.wto.org/imrd/directdoc.asp?DDFDocuments/t/G/SPS/NBDI14A2.docx</v>
      </c>
      <c r="S735" t="str">
        <f>HYPERLINK("https://docs.wto.org/imrd/directdoc.asp?DDFDocuments/u/G/SPS/NBDI14A2.docx", "https://docs.wto.org/imrd/directdoc.asp?DDFDocuments/u/G/SPS/NBDI14A2.docx")</f>
        <v>https://docs.wto.org/imrd/directdoc.asp?DDFDocuments/u/G/SPS/NBDI14A2.docx</v>
      </c>
      <c r="T735" t="str">
        <f>HYPERLINK("https://docs.wto.org/imrd/directdoc.asp?DDFDocuments/v/G/SPS/NBDI14A2.docx", "https://docs.wto.org/imrd/directdoc.asp?DDFDocuments/v/G/SPS/NBDI14A2.docx")</f>
        <v>https://docs.wto.org/imrd/directdoc.asp?DDFDocuments/v/G/SPS/NBDI14A2.docx</v>
      </c>
      <c r="U735" t="s">
        <v>43</v>
      </c>
      <c r="V735" t="s">
        <v>43</v>
      </c>
      <c r="W735" t="s">
        <v>43</v>
      </c>
      <c r="X735" t="s">
        <v>43</v>
      </c>
      <c r="Y735" t="s">
        <v>43</v>
      </c>
      <c r="Z735" t="s">
        <v>43</v>
      </c>
      <c r="AA735" t="s">
        <v>43</v>
      </c>
      <c r="AB735" s="2" t="s">
        <v>43</v>
      </c>
      <c r="AC735" t="s">
        <v>43</v>
      </c>
      <c r="AD735" t="s">
        <v>43</v>
      </c>
      <c r="AE735" t="s">
        <v>43</v>
      </c>
      <c r="AF735" t="s">
        <v>43</v>
      </c>
      <c r="AG735" t="s">
        <v>43</v>
      </c>
      <c r="AH735" s="2" t="s">
        <v>43</v>
      </c>
    </row>
    <row r="736" spans="1:34" ht="60">
      <c r="A736" s="6" t="s">
        <v>577</v>
      </c>
      <c r="B736" s="7">
        <v>46059</v>
      </c>
      <c r="C736" s="9" t="str">
        <f>HYPERLINK("https://eping.wto.org/en/Search?viewData= G/SPS/N/BDI/14/Add.2, G/SPS/N/KEN/166/Add.2, G/SPS/N/RWA/7/Add.2, G/SPS/N/TZA/198/Add.2, G/SPS/N/UGA/208/Add.2"," G/SPS/N/BDI/14/Add.2, G/SPS/N/KEN/166/Add.2, G/SPS/N/RWA/7/Add.2, G/SPS/N/TZA/198/Add.2, G/SPS/N/UGA/208/Add.2")</f>
        <v xml:space="preserve"> G/SPS/N/BDI/14/Add.2, G/SPS/N/KEN/166/Add.2, G/SPS/N/RWA/7/Add.2, G/SPS/N/TZA/198/Add.2, G/SPS/N/UGA/208/Add.2</v>
      </c>
      <c r="D736" s="8" t="s">
        <v>3109</v>
      </c>
      <c r="E736" s="8" t="s">
        <v>3110</v>
      </c>
      <c r="F736" s="8" t="s">
        <v>3111</v>
      </c>
      <c r="G736" s="8" t="s">
        <v>3112</v>
      </c>
      <c r="H736" s="8" t="s">
        <v>2826</v>
      </c>
      <c r="I736" s="8" t="s">
        <v>58</v>
      </c>
      <c r="J736" s="8" t="s">
        <v>43</v>
      </c>
      <c r="K736" s="8" t="s">
        <v>1950</v>
      </c>
      <c r="L736" s="6"/>
      <c r="M736" s="7" t="s">
        <v>43</v>
      </c>
      <c r="N736" s="7"/>
      <c r="O736" s="7"/>
      <c r="P736" s="6" t="s">
        <v>44</v>
      </c>
      <c r="Q736" s="6"/>
      <c r="R736" t="str">
        <f>HYPERLINK("https://docs.wto.org/imrd/directdoc.asp?DDFDocuments/t/G/SPS/NBDI14A2.docx", "https://docs.wto.org/imrd/directdoc.asp?DDFDocuments/t/G/SPS/NBDI14A2.docx")</f>
        <v>https://docs.wto.org/imrd/directdoc.asp?DDFDocuments/t/G/SPS/NBDI14A2.docx</v>
      </c>
      <c r="S736" t="str">
        <f>HYPERLINK("https://docs.wto.org/imrd/directdoc.asp?DDFDocuments/u/G/SPS/NBDI14A2.docx", "https://docs.wto.org/imrd/directdoc.asp?DDFDocuments/u/G/SPS/NBDI14A2.docx")</f>
        <v>https://docs.wto.org/imrd/directdoc.asp?DDFDocuments/u/G/SPS/NBDI14A2.docx</v>
      </c>
      <c r="T736" t="str">
        <f>HYPERLINK("https://docs.wto.org/imrd/directdoc.asp?DDFDocuments/v/G/SPS/NBDI14A2.docx", "https://docs.wto.org/imrd/directdoc.asp?DDFDocuments/v/G/SPS/NBDI14A2.docx")</f>
        <v>https://docs.wto.org/imrd/directdoc.asp?DDFDocuments/v/G/SPS/NBDI14A2.docx</v>
      </c>
      <c r="U736" t="s">
        <v>43</v>
      </c>
      <c r="V736" t="s">
        <v>43</v>
      </c>
      <c r="W736" t="s">
        <v>43</v>
      </c>
      <c r="X736" t="s">
        <v>43</v>
      </c>
      <c r="Y736" t="s">
        <v>43</v>
      </c>
      <c r="Z736" t="s">
        <v>43</v>
      </c>
      <c r="AA736" t="s">
        <v>43</v>
      </c>
      <c r="AB736" s="2" t="s">
        <v>43</v>
      </c>
      <c r="AC736" t="s">
        <v>43</v>
      </c>
      <c r="AD736" t="s">
        <v>43</v>
      </c>
      <c r="AE736" t="s">
        <v>43</v>
      </c>
      <c r="AF736" t="s">
        <v>43</v>
      </c>
      <c r="AG736" t="s">
        <v>43</v>
      </c>
      <c r="AH736" s="2" t="s">
        <v>43</v>
      </c>
    </row>
    <row r="737" spans="1:34" ht="60">
      <c r="A737" s="6" t="s">
        <v>577</v>
      </c>
      <c r="B737" s="7">
        <v>46059</v>
      </c>
      <c r="C737" s="9" t="str">
        <f>HYPERLINK("https://eping.wto.org/en/Search?viewData= G/SPS/N/BDI/13/Add.2, G/SPS/N/KEN/165/Add.2, G/SPS/N/RWA/6/Add.2, G/SPS/N/TZA/197/Add.2, G/SPS/N/UGA/207/Add.2"," G/SPS/N/BDI/13/Add.2, G/SPS/N/KEN/165/Add.2, G/SPS/N/RWA/6/Add.2, G/SPS/N/TZA/197/Add.2, G/SPS/N/UGA/207/Add.2")</f>
        <v xml:space="preserve"> G/SPS/N/BDI/13/Add.2, G/SPS/N/KEN/165/Add.2, G/SPS/N/RWA/6/Add.2, G/SPS/N/TZA/197/Add.2, G/SPS/N/UGA/207/Add.2</v>
      </c>
      <c r="D737" s="8" t="s">
        <v>3106</v>
      </c>
      <c r="E737" s="8" t="s">
        <v>3107</v>
      </c>
      <c r="F737" s="8" t="s">
        <v>3108</v>
      </c>
      <c r="G737" s="8" t="s">
        <v>2885</v>
      </c>
      <c r="H737" s="8" t="s">
        <v>2826</v>
      </c>
      <c r="I737" s="8" t="s">
        <v>58</v>
      </c>
      <c r="J737" s="8" t="s">
        <v>43</v>
      </c>
      <c r="K737" s="8" t="s">
        <v>2845</v>
      </c>
      <c r="L737" s="6"/>
      <c r="M737" s="7" t="s">
        <v>43</v>
      </c>
      <c r="N737" s="7"/>
      <c r="O737" s="7"/>
      <c r="P737" s="6" t="s">
        <v>44</v>
      </c>
      <c r="Q737" s="6"/>
      <c r="R737" t="str">
        <f>HYPERLINK("https://docs.wto.org/imrd/directdoc.asp?DDFDocuments/t/G/SPS/NBDI13A2.docx", "https://docs.wto.org/imrd/directdoc.asp?DDFDocuments/t/G/SPS/NBDI13A2.docx")</f>
        <v>https://docs.wto.org/imrd/directdoc.asp?DDFDocuments/t/G/SPS/NBDI13A2.docx</v>
      </c>
      <c r="S737" t="str">
        <f>HYPERLINK("https://docs.wto.org/imrd/directdoc.asp?DDFDocuments/u/G/SPS/NBDI13A2.docx", "https://docs.wto.org/imrd/directdoc.asp?DDFDocuments/u/G/SPS/NBDI13A2.docx")</f>
        <v>https://docs.wto.org/imrd/directdoc.asp?DDFDocuments/u/G/SPS/NBDI13A2.docx</v>
      </c>
      <c r="T737" t="str">
        <f>HYPERLINK("https://docs.wto.org/imrd/directdoc.asp?DDFDocuments/v/G/SPS/NBDI13A2.docx", "https://docs.wto.org/imrd/directdoc.asp?DDFDocuments/v/G/SPS/NBDI13A2.docx")</f>
        <v>https://docs.wto.org/imrd/directdoc.asp?DDFDocuments/v/G/SPS/NBDI13A2.docx</v>
      </c>
      <c r="U737" t="s">
        <v>43</v>
      </c>
      <c r="V737" t="s">
        <v>43</v>
      </c>
      <c r="W737" t="s">
        <v>43</v>
      </c>
      <c r="X737" t="s">
        <v>43</v>
      </c>
      <c r="Y737" t="s">
        <v>43</v>
      </c>
      <c r="Z737" t="s">
        <v>43</v>
      </c>
      <c r="AA737" t="s">
        <v>43</v>
      </c>
      <c r="AB737" s="2" t="s">
        <v>43</v>
      </c>
      <c r="AC737" t="s">
        <v>43</v>
      </c>
      <c r="AD737" t="s">
        <v>43</v>
      </c>
      <c r="AE737" t="s">
        <v>43</v>
      </c>
      <c r="AF737" t="s">
        <v>43</v>
      </c>
      <c r="AG737" t="s">
        <v>43</v>
      </c>
      <c r="AH737" s="2" t="s">
        <v>43</v>
      </c>
    </row>
    <row r="738" spans="1:34" ht="90">
      <c r="A738" s="6" t="s">
        <v>577</v>
      </c>
      <c r="B738" s="7">
        <v>46059</v>
      </c>
      <c r="C738" s="9" t="str">
        <f>HYPERLINK("https://eping.wto.org/en/Search?viewData= G/TBT/N/BDI/222/Add.3, G/TBT/N/KEN/1231/Add.3, G/TBT/N/RWA/648/Add.3, G/TBT/N/TZA/723/Add.3, G/TBT/N/UGA/1555/Add.3"," G/TBT/N/BDI/222/Add.3, G/TBT/N/KEN/1231/Add.3, G/TBT/N/RWA/648/Add.3, G/TBT/N/TZA/723/Add.3, G/TBT/N/UGA/1555/Add.3")</f>
        <v xml:space="preserve"> G/TBT/N/BDI/222/Add.3, G/TBT/N/KEN/1231/Add.3, G/TBT/N/RWA/648/Add.3, G/TBT/N/TZA/723/Add.3, G/TBT/N/UGA/1555/Add.3</v>
      </c>
      <c r="D738" s="8" t="s">
        <v>3094</v>
      </c>
      <c r="E738" s="8" t="s">
        <v>3095</v>
      </c>
      <c r="F738" s="8" t="s">
        <v>2819</v>
      </c>
      <c r="G738" s="8" t="s">
        <v>43</v>
      </c>
      <c r="H738" s="8" t="s">
        <v>2821</v>
      </c>
      <c r="I738" s="8" t="s">
        <v>3096</v>
      </c>
      <c r="J738" s="8" t="s">
        <v>43</v>
      </c>
      <c r="K738" s="8" t="s">
        <v>1029</v>
      </c>
      <c r="L738" s="6"/>
      <c r="M738" s="7" t="s">
        <v>43</v>
      </c>
      <c r="N738" s="7"/>
      <c r="O738" s="7"/>
      <c r="P738" s="6" t="s">
        <v>44</v>
      </c>
      <c r="Q738" s="6"/>
      <c r="R738" t="str">
        <f>HYPERLINK("https://docs.wto.org/imrd/directdoc.asp?DDFDocuments/t/G/TBTN22/BDI222A3.docx", "https://docs.wto.org/imrd/directdoc.asp?DDFDocuments/t/G/TBTN22/BDI222A3.docx")</f>
        <v>https://docs.wto.org/imrd/directdoc.asp?DDFDocuments/t/G/TBTN22/BDI222A3.docx</v>
      </c>
      <c r="S738" t="str">
        <f>HYPERLINK("https://docs.wto.org/imrd/directdoc.asp?DDFDocuments/u/G/TBTN22/BDI222A3.docx", "https://docs.wto.org/imrd/directdoc.asp?DDFDocuments/u/G/TBTN22/BDI222A3.docx")</f>
        <v>https://docs.wto.org/imrd/directdoc.asp?DDFDocuments/u/G/TBTN22/BDI222A3.docx</v>
      </c>
      <c r="T738" t="str">
        <f>HYPERLINK("https://docs.wto.org/imrd/directdoc.asp?DDFDocuments/v/G/TBTN22/BDI222A3.docx", "https://docs.wto.org/imrd/directdoc.asp?DDFDocuments/v/G/TBTN22/BDI222A3.docx")</f>
        <v>https://docs.wto.org/imrd/directdoc.asp?DDFDocuments/v/G/TBTN22/BDI222A3.docx</v>
      </c>
      <c r="U738" t="s">
        <v>64</v>
      </c>
      <c r="V738" t="s">
        <v>46</v>
      </c>
      <c r="W738" t="s">
        <v>46</v>
      </c>
      <c r="X738" t="s">
        <v>46</v>
      </c>
      <c r="Y738" t="s">
        <v>46</v>
      </c>
      <c r="Z738" t="s">
        <v>46</v>
      </c>
      <c r="AA738" t="s">
        <v>46</v>
      </c>
      <c r="AB738" s="2" t="s">
        <v>43</v>
      </c>
      <c r="AC738" t="s">
        <v>43</v>
      </c>
      <c r="AD738" t="s">
        <v>43</v>
      </c>
      <c r="AE738" t="s">
        <v>43</v>
      </c>
      <c r="AF738" t="s">
        <v>43</v>
      </c>
      <c r="AG738" t="s">
        <v>43</v>
      </c>
      <c r="AH738" s="2" t="s">
        <v>43</v>
      </c>
    </row>
    <row r="739" spans="1:34" ht="90">
      <c r="A739" s="6" t="s">
        <v>124</v>
      </c>
      <c r="B739" s="7">
        <v>46059</v>
      </c>
      <c r="C739" s="9" t="str">
        <f>HYPERLINK("https://eping.wto.org/en/Search?viewData= G/TBT/N/BDI/221/Add.3, G/TBT/N/KEN/1230/Add.3, G/TBT/N/RWA/647/Add.3, G/TBT/N/TZA/722/Add.3, G/TBT/N/UGA/1554/Add.3"," G/TBT/N/BDI/221/Add.3, G/TBT/N/KEN/1230/Add.3, G/TBT/N/RWA/647/Add.3, G/TBT/N/TZA/722/Add.3, G/TBT/N/UGA/1554/Add.3")</f>
        <v xml:space="preserve"> G/TBT/N/BDI/221/Add.3, G/TBT/N/KEN/1230/Add.3, G/TBT/N/RWA/647/Add.3, G/TBT/N/TZA/722/Add.3, G/TBT/N/UGA/1554/Add.3</v>
      </c>
      <c r="D739" s="8" t="s">
        <v>3131</v>
      </c>
      <c r="E739" s="8" t="s">
        <v>3132</v>
      </c>
      <c r="F739" s="8" t="s">
        <v>2819</v>
      </c>
      <c r="G739" s="8" t="s">
        <v>43</v>
      </c>
      <c r="H739" s="8" t="s">
        <v>2821</v>
      </c>
      <c r="I739" s="8" t="s">
        <v>2846</v>
      </c>
      <c r="J739" s="8" t="s">
        <v>43</v>
      </c>
      <c r="K739" s="8" t="s">
        <v>1029</v>
      </c>
      <c r="L739" s="6"/>
      <c r="M739" s="7" t="s">
        <v>43</v>
      </c>
      <c r="N739" s="7"/>
      <c r="O739" s="7"/>
      <c r="P739" s="6" t="s">
        <v>44</v>
      </c>
      <c r="Q739" s="6"/>
      <c r="R739" t="str">
        <f>HYPERLINK("https://docs.wto.org/imrd/directdoc.asp?DDFDocuments/t/G/TBTN22/BDI221A3.docx", "https://docs.wto.org/imrd/directdoc.asp?DDFDocuments/t/G/TBTN22/BDI221A3.docx")</f>
        <v>https://docs.wto.org/imrd/directdoc.asp?DDFDocuments/t/G/TBTN22/BDI221A3.docx</v>
      </c>
      <c r="S739" t="str">
        <f>HYPERLINK("https://docs.wto.org/imrd/directdoc.asp?DDFDocuments/u/G/TBTN22/BDI221A3.docx", "https://docs.wto.org/imrd/directdoc.asp?DDFDocuments/u/G/TBTN22/BDI221A3.docx")</f>
        <v>https://docs.wto.org/imrd/directdoc.asp?DDFDocuments/u/G/TBTN22/BDI221A3.docx</v>
      </c>
      <c r="T739" t="str">
        <f>HYPERLINK("https://docs.wto.org/imrd/directdoc.asp?DDFDocuments/v/G/TBTN22/BDI221A3.docx", "https://docs.wto.org/imrd/directdoc.asp?DDFDocuments/v/G/TBTN22/BDI221A3.docx")</f>
        <v>https://docs.wto.org/imrd/directdoc.asp?DDFDocuments/v/G/TBTN22/BDI221A3.docx</v>
      </c>
      <c r="U739" t="s">
        <v>64</v>
      </c>
      <c r="V739" t="s">
        <v>46</v>
      </c>
      <c r="W739" t="s">
        <v>46</v>
      </c>
      <c r="X739" t="s">
        <v>46</v>
      </c>
      <c r="Y739" t="s">
        <v>46</v>
      </c>
      <c r="Z739" t="s">
        <v>46</v>
      </c>
      <c r="AA739" t="s">
        <v>46</v>
      </c>
      <c r="AB739" s="2" t="s">
        <v>43</v>
      </c>
      <c r="AC739" t="s">
        <v>43</v>
      </c>
      <c r="AD739" t="s">
        <v>43</v>
      </c>
      <c r="AE739" t="s">
        <v>43</v>
      </c>
      <c r="AF739" t="s">
        <v>43</v>
      </c>
      <c r="AG739" t="s">
        <v>43</v>
      </c>
      <c r="AH739" s="2" t="s">
        <v>43</v>
      </c>
    </row>
    <row r="740" spans="1:34" ht="165">
      <c r="A740" s="6" t="s">
        <v>196</v>
      </c>
      <c r="B740" s="7">
        <v>46059</v>
      </c>
      <c r="C740" s="9" t="str">
        <f>HYPERLINK("https://eping.wto.org/en/Search?viewData= G/TBT/N/ESP/56"," G/TBT/N/ESP/56")</f>
        <v xml:space="preserve"> G/TBT/N/ESP/56</v>
      </c>
      <c r="D740" s="8" t="s">
        <v>3153</v>
      </c>
      <c r="E740" s="8" t="s">
        <v>3154</v>
      </c>
      <c r="F740" s="8" t="s">
        <v>3155</v>
      </c>
      <c r="G740" s="8" t="s">
        <v>43</v>
      </c>
      <c r="H740" s="8" t="s">
        <v>3156</v>
      </c>
      <c r="I740" s="8" t="s">
        <v>1977</v>
      </c>
      <c r="J740" s="8" t="s">
        <v>3157</v>
      </c>
      <c r="K740" s="8" t="s">
        <v>43</v>
      </c>
      <c r="L740" s="6"/>
      <c r="M740" s="7">
        <v>46119</v>
      </c>
      <c r="N740" s="7" t="s">
        <v>3158</v>
      </c>
      <c r="O740" s="7" t="s">
        <v>3159</v>
      </c>
      <c r="P740" s="6" t="s">
        <v>62</v>
      </c>
      <c r="Q740" s="8" t="s">
        <v>3160</v>
      </c>
      <c r="R740" t="str">
        <f>HYPERLINK("https://docs.wto.org/imrd/directdoc.asp?DDFDocuments/t/G/TBTN26/ESP56.docx", "https://docs.wto.org/imrd/directdoc.asp?DDFDocuments/t/G/TBTN26/ESP56.docx")</f>
        <v>https://docs.wto.org/imrd/directdoc.asp?DDFDocuments/t/G/TBTN26/ESP56.docx</v>
      </c>
      <c r="S740" t="str">
        <f>HYPERLINK("https://docs.wto.org/imrd/directdoc.asp?DDFDocuments/u/G/TBTN26/ESP56.docx", "https://docs.wto.org/imrd/directdoc.asp?DDFDocuments/u/G/TBTN26/ESP56.docx")</f>
        <v>https://docs.wto.org/imrd/directdoc.asp?DDFDocuments/u/G/TBTN26/ESP56.docx</v>
      </c>
      <c r="T740" t="str">
        <f>HYPERLINK("https://docs.wto.org/imrd/directdoc.asp?DDFDocuments/v/G/TBTN26/ESP56.docx", "https://docs.wto.org/imrd/directdoc.asp?DDFDocuments/v/G/TBTN26/ESP56.docx")</f>
        <v>https://docs.wto.org/imrd/directdoc.asp?DDFDocuments/v/G/TBTN26/ESP56.docx</v>
      </c>
      <c r="U740" t="s">
        <v>64</v>
      </c>
      <c r="V740" t="s">
        <v>46</v>
      </c>
      <c r="W740" t="s">
        <v>46</v>
      </c>
      <c r="X740" t="s">
        <v>46</v>
      </c>
      <c r="Y740" t="s">
        <v>46</v>
      </c>
      <c r="Z740" t="s">
        <v>46</v>
      </c>
      <c r="AA740" t="s">
        <v>46</v>
      </c>
      <c r="AB740" s="2" t="s">
        <v>3161</v>
      </c>
      <c r="AC740" t="s">
        <v>43</v>
      </c>
      <c r="AD740" t="s">
        <v>43</v>
      </c>
      <c r="AE740" t="s">
        <v>43</v>
      </c>
      <c r="AF740" t="s">
        <v>43</v>
      </c>
      <c r="AG740" t="s">
        <v>43</v>
      </c>
      <c r="AH740" s="2" t="s">
        <v>43</v>
      </c>
    </row>
    <row r="741" spans="1:34" ht="60">
      <c r="A741" s="6" t="s">
        <v>390</v>
      </c>
      <c r="B741" s="7">
        <v>46059</v>
      </c>
      <c r="C741" s="9" t="str">
        <f>HYPERLINK("https://eping.wto.org/en/Search?viewData= G/SPS/N/BDI/12/Add.2, G/SPS/N/KEN/164/Add.2, G/SPS/N/RWA/5/Add.2, G/SPS/N/TZA/196/Add.2, G/SPS/N/UGA/206/Add.2"," G/SPS/N/BDI/12/Add.2, G/SPS/N/KEN/164/Add.2, G/SPS/N/RWA/5/Add.2, G/SPS/N/TZA/196/Add.2, G/SPS/N/UGA/206/Add.2")</f>
        <v xml:space="preserve"> G/SPS/N/BDI/12/Add.2, G/SPS/N/KEN/164/Add.2, G/SPS/N/RWA/5/Add.2, G/SPS/N/TZA/196/Add.2, G/SPS/N/UGA/206/Add.2</v>
      </c>
      <c r="D741" s="8" t="s">
        <v>3133</v>
      </c>
      <c r="E741" s="8" t="s">
        <v>3134</v>
      </c>
      <c r="F741" s="8" t="s">
        <v>3135</v>
      </c>
      <c r="G741" s="8" t="s">
        <v>3112</v>
      </c>
      <c r="H741" s="8" t="s">
        <v>2826</v>
      </c>
      <c r="I741" s="8" t="s">
        <v>58</v>
      </c>
      <c r="J741" s="8" t="s">
        <v>43</v>
      </c>
      <c r="K741" s="8" t="s">
        <v>2910</v>
      </c>
      <c r="L741" s="6"/>
      <c r="M741" s="7" t="s">
        <v>43</v>
      </c>
      <c r="N741" s="7"/>
      <c r="O741" s="7"/>
      <c r="P741" s="6" t="s">
        <v>44</v>
      </c>
      <c r="Q741" s="6"/>
      <c r="R741" t="str">
        <f>HYPERLINK("https://docs.wto.org/imrd/directdoc.asp?DDFDocuments/t/G/SPS/NBDI12A2.docx", "https://docs.wto.org/imrd/directdoc.asp?DDFDocuments/t/G/SPS/NBDI12A2.docx")</f>
        <v>https://docs.wto.org/imrd/directdoc.asp?DDFDocuments/t/G/SPS/NBDI12A2.docx</v>
      </c>
      <c r="S741" t="str">
        <f>HYPERLINK("https://docs.wto.org/imrd/directdoc.asp?DDFDocuments/u/G/SPS/NBDI12A2.docx", "https://docs.wto.org/imrd/directdoc.asp?DDFDocuments/u/G/SPS/NBDI12A2.docx")</f>
        <v>https://docs.wto.org/imrd/directdoc.asp?DDFDocuments/u/G/SPS/NBDI12A2.docx</v>
      </c>
      <c r="T741" t="str">
        <f>HYPERLINK("https://docs.wto.org/imrd/directdoc.asp?DDFDocuments/v/G/SPS/NBDI12A2.docx", "https://docs.wto.org/imrd/directdoc.asp?DDFDocuments/v/G/SPS/NBDI12A2.docx")</f>
        <v>https://docs.wto.org/imrd/directdoc.asp?DDFDocuments/v/G/SPS/NBDI12A2.docx</v>
      </c>
      <c r="U741" t="s">
        <v>43</v>
      </c>
      <c r="V741" t="s">
        <v>43</v>
      </c>
      <c r="W741" t="s">
        <v>43</v>
      </c>
      <c r="X741" t="s">
        <v>43</v>
      </c>
      <c r="Y741" t="s">
        <v>43</v>
      </c>
      <c r="Z741" t="s">
        <v>43</v>
      </c>
      <c r="AA741" t="s">
        <v>43</v>
      </c>
      <c r="AB741" s="2" t="s">
        <v>43</v>
      </c>
      <c r="AC741" t="s">
        <v>43</v>
      </c>
      <c r="AD741" t="s">
        <v>43</v>
      </c>
      <c r="AE741" t="s">
        <v>43</v>
      </c>
      <c r="AF741" t="s">
        <v>43</v>
      </c>
      <c r="AG741" t="s">
        <v>43</v>
      </c>
      <c r="AH741" s="2" t="s">
        <v>43</v>
      </c>
    </row>
    <row r="742" spans="1:34" ht="60">
      <c r="A742" s="6" t="s">
        <v>509</v>
      </c>
      <c r="B742" s="7">
        <v>46059</v>
      </c>
      <c r="C742" s="9" t="str">
        <f>HYPERLINK("https://eping.wto.org/en/Search?viewData= G/SPS/N/BDI/14/Add.2, G/SPS/N/KEN/166/Add.2, G/SPS/N/RWA/7/Add.2, G/SPS/N/TZA/198/Add.2, G/SPS/N/UGA/208/Add.2"," G/SPS/N/BDI/14/Add.2, G/SPS/N/KEN/166/Add.2, G/SPS/N/RWA/7/Add.2, G/SPS/N/TZA/198/Add.2, G/SPS/N/UGA/208/Add.2")</f>
        <v xml:space="preserve"> G/SPS/N/BDI/14/Add.2, G/SPS/N/KEN/166/Add.2, G/SPS/N/RWA/7/Add.2, G/SPS/N/TZA/198/Add.2, G/SPS/N/UGA/208/Add.2</v>
      </c>
      <c r="D742" s="8" t="s">
        <v>3109</v>
      </c>
      <c r="E742" s="8" t="s">
        <v>3110</v>
      </c>
      <c r="F742" s="8" t="s">
        <v>3111</v>
      </c>
      <c r="G742" s="8" t="s">
        <v>3112</v>
      </c>
      <c r="H742" s="8" t="s">
        <v>2826</v>
      </c>
      <c r="I742" s="8" t="s">
        <v>58</v>
      </c>
      <c r="J742" s="8" t="s">
        <v>43</v>
      </c>
      <c r="K742" s="8" t="s">
        <v>3113</v>
      </c>
      <c r="L742" s="6"/>
      <c r="M742" s="7" t="s">
        <v>43</v>
      </c>
      <c r="N742" s="7"/>
      <c r="O742" s="7"/>
      <c r="P742" s="6" t="s">
        <v>44</v>
      </c>
      <c r="Q742" s="6"/>
      <c r="R742" t="str">
        <f>HYPERLINK("https://docs.wto.org/imrd/directdoc.asp?DDFDocuments/t/G/SPS/NBDI14A2.docx", "https://docs.wto.org/imrd/directdoc.asp?DDFDocuments/t/G/SPS/NBDI14A2.docx")</f>
        <v>https://docs.wto.org/imrd/directdoc.asp?DDFDocuments/t/G/SPS/NBDI14A2.docx</v>
      </c>
      <c r="S742" t="str">
        <f>HYPERLINK("https://docs.wto.org/imrd/directdoc.asp?DDFDocuments/u/G/SPS/NBDI14A2.docx", "https://docs.wto.org/imrd/directdoc.asp?DDFDocuments/u/G/SPS/NBDI14A2.docx")</f>
        <v>https://docs.wto.org/imrd/directdoc.asp?DDFDocuments/u/G/SPS/NBDI14A2.docx</v>
      </c>
      <c r="T742" t="str">
        <f>HYPERLINK("https://docs.wto.org/imrd/directdoc.asp?DDFDocuments/v/G/SPS/NBDI14A2.docx", "https://docs.wto.org/imrd/directdoc.asp?DDFDocuments/v/G/SPS/NBDI14A2.docx")</f>
        <v>https://docs.wto.org/imrd/directdoc.asp?DDFDocuments/v/G/SPS/NBDI14A2.docx</v>
      </c>
      <c r="U742" t="s">
        <v>43</v>
      </c>
      <c r="V742" t="s">
        <v>43</v>
      </c>
      <c r="W742" t="s">
        <v>43</v>
      </c>
      <c r="X742" t="s">
        <v>43</v>
      </c>
      <c r="Y742" t="s">
        <v>43</v>
      </c>
      <c r="Z742" t="s">
        <v>43</v>
      </c>
      <c r="AA742" t="s">
        <v>43</v>
      </c>
      <c r="AB742" s="2" t="s">
        <v>43</v>
      </c>
      <c r="AC742" t="s">
        <v>43</v>
      </c>
      <c r="AD742" t="s">
        <v>43</v>
      </c>
      <c r="AE742" t="s">
        <v>43</v>
      </c>
      <c r="AF742" t="s">
        <v>43</v>
      </c>
      <c r="AG742" t="s">
        <v>43</v>
      </c>
      <c r="AH742" s="2" t="s">
        <v>43</v>
      </c>
    </row>
    <row r="743" spans="1:34" ht="60">
      <c r="A743" s="6" t="s">
        <v>108</v>
      </c>
      <c r="B743" s="7">
        <v>46059</v>
      </c>
      <c r="C743" s="9" t="str">
        <f>HYPERLINK("https://eping.wto.org/en/Search?viewData= G/SPS/N/BDI/12/Add.2, G/SPS/N/KEN/164/Add.2, G/SPS/N/RWA/5/Add.2, G/SPS/N/TZA/196/Add.2, G/SPS/N/UGA/206/Add.2"," G/SPS/N/BDI/12/Add.2, G/SPS/N/KEN/164/Add.2, G/SPS/N/RWA/5/Add.2, G/SPS/N/TZA/196/Add.2, G/SPS/N/UGA/206/Add.2")</f>
        <v xml:space="preserve"> G/SPS/N/BDI/12/Add.2, G/SPS/N/KEN/164/Add.2, G/SPS/N/RWA/5/Add.2, G/SPS/N/TZA/196/Add.2, G/SPS/N/UGA/206/Add.2</v>
      </c>
      <c r="D743" s="8" t="s">
        <v>3133</v>
      </c>
      <c r="E743" s="8" t="s">
        <v>3134</v>
      </c>
      <c r="F743" s="8" t="s">
        <v>3135</v>
      </c>
      <c r="G743" s="8" t="s">
        <v>3112</v>
      </c>
      <c r="H743" s="8" t="s">
        <v>2826</v>
      </c>
      <c r="I743" s="8" t="s">
        <v>58</v>
      </c>
      <c r="J743" s="8" t="s">
        <v>43</v>
      </c>
      <c r="K743" s="8" t="s">
        <v>2845</v>
      </c>
      <c r="L743" s="6"/>
      <c r="M743" s="7" t="s">
        <v>43</v>
      </c>
      <c r="N743" s="7"/>
      <c r="O743" s="7"/>
      <c r="P743" s="6" t="s">
        <v>44</v>
      </c>
      <c r="Q743" s="6"/>
      <c r="R743" t="str">
        <f>HYPERLINK("https://docs.wto.org/imrd/directdoc.asp?DDFDocuments/t/G/SPS/NBDI12A2.docx", "https://docs.wto.org/imrd/directdoc.asp?DDFDocuments/t/G/SPS/NBDI12A2.docx")</f>
        <v>https://docs.wto.org/imrd/directdoc.asp?DDFDocuments/t/G/SPS/NBDI12A2.docx</v>
      </c>
      <c r="S743" t="str">
        <f>HYPERLINK("https://docs.wto.org/imrd/directdoc.asp?DDFDocuments/u/G/SPS/NBDI12A2.docx", "https://docs.wto.org/imrd/directdoc.asp?DDFDocuments/u/G/SPS/NBDI12A2.docx")</f>
        <v>https://docs.wto.org/imrd/directdoc.asp?DDFDocuments/u/G/SPS/NBDI12A2.docx</v>
      </c>
      <c r="T743" t="str">
        <f>HYPERLINK("https://docs.wto.org/imrd/directdoc.asp?DDFDocuments/v/G/SPS/NBDI12A2.docx", "https://docs.wto.org/imrd/directdoc.asp?DDFDocuments/v/G/SPS/NBDI12A2.docx")</f>
        <v>https://docs.wto.org/imrd/directdoc.asp?DDFDocuments/v/G/SPS/NBDI12A2.docx</v>
      </c>
      <c r="U743" t="s">
        <v>43</v>
      </c>
      <c r="V743" t="s">
        <v>43</v>
      </c>
      <c r="W743" t="s">
        <v>43</v>
      </c>
      <c r="X743" t="s">
        <v>43</v>
      </c>
      <c r="Y743" t="s">
        <v>43</v>
      </c>
      <c r="Z743" t="s">
        <v>43</v>
      </c>
      <c r="AA743" t="s">
        <v>43</v>
      </c>
      <c r="AB743" s="2" t="s">
        <v>43</v>
      </c>
      <c r="AC743" t="s">
        <v>43</v>
      </c>
      <c r="AD743" t="s">
        <v>43</v>
      </c>
      <c r="AE743" t="s">
        <v>43</v>
      </c>
      <c r="AF743" t="s">
        <v>43</v>
      </c>
      <c r="AG743" t="s">
        <v>43</v>
      </c>
      <c r="AH743" s="2" t="s">
        <v>43</v>
      </c>
    </row>
    <row r="744" spans="1:34" ht="90">
      <c r="A744" s="6" t="s">
        <v>124</v>
      </c>
      <c r="B744" s="7">
        <v>46059</v>
      </c>
      <c r="C744" s="9" t="str">
        <f>HYPERLINK("https://eping.wto.org/en/Search?viewData= G/TBT/N/BDI/219/Add.3, G/TBT/N/KEN/1228/Add.3, G/TBT/N/RWA/645/Add.3, G/TBT/N/TZA/720/Add.3, G/TBT/N/UGA/1552/Add.3"," G/TBT/N/BDI/219/Add.3, G/TBT/N/KEN/1228/Add.3, G/TBT/N/RWA/645/Add.3, G/TBT/N/TZA/720/Add.3, G/TBT/N/UGA/1552/Add.3")</f>
        <v xml:space="preserve"> G/TBT/N/BDI/219/Add.3, G/TBT/N/KEN/1228/Add.3, G/TBT/N/RWA/645/Add.3, G/TBT/N/TZA/720/Add.3, G/TBT/N/UGA/1552/Add.3</v>
      </c>
      <c r="D744" s="8" t="s">
        <v>3129</v>
      </c>
      <c r="E744" s="8" t="s">
        <v>3130</v>
      </c>
      <c r="F744" s="8" t="s">
        <v>2819</v>
      </c>
      <c r="G744" s="8" t="s">
        <v>43</v>
      </c>
      <c r="H744" s="8" t="s">
        <v>2821</v>
      </c>
      <c r="I744" s="8" t="s">
        <v>3096</v>
      </c>
      <c r="J744" s="8" t="s">
        <v>43</v>
      </c>
      <c r="K744" s="8" t="s">
        <v>1029</v>
      </c>
      <c r="L744" s="6"/>
      <c r="M744" s="7" t="s">
        <v>43</v>
      </c>
      <c r="N744" s="7"/>
      <c r="O744" s="7"/>
      <c r="P744" s="6" t="s">
        <v>44</v>
      </c>
      <c r="Q744" s="6"/>
      <c r="R744" t="str">
        <f>HYPERLINK("https://docs.wto.org/imrd/directdoc.asp?DDFDocuments/t/G/TBTN22/BDI219A3.docx", "https://docs.wto.org/imrd/directdoc.asp?DDFDocuments/t/G/TBTN22/BDI219A3.docx")</f>
        <v>https://docs.wto.org/imrd/directdoc.asp?DDFDocuments/t/G/TBTN22/BDI219A3.docx</v>
      </c>
      <c r="S744" t="str">
        <f>HYPERLINK("https://docs.wto.org/imrd/directdoc.asp?DDFDocuments/u/G/TBTN22/BDI219A3.docx", "https://docs.wto.org/imrd/directdoc.asp?DDFDocuments/u/G/TBTN22/BDI219A3.docx")</f>
        <v>https://docs.wto.org/imrd/directdoc.asp?DDFDocuments/u/G/TBTN22/BDI219A3.docx</v>
      </c>
      <c r="T744" t="str">
        <f>HYPERLINK("https://docs.wto.org/imrd/directdoc.asp?DDFDocuments/v/G/TBTN22/BDI219A3.docx", "https://docs.wto.org/imrd/directdoc.asp?DDFDocuments/v/G/TBTN22/BDI219A3.docx")</f>
        <v>https://docs.wto.org/imrd/directdoc.asp?DDFDocuments/v/G/TBTN22/BDI219A3.docx</v>
      </c>
      <c r="U744" t="s">
        <v>64</v>
      </c>
      <c r="V744" t="s">
        <v>46</v>
      </c>
      <c r="W744" t="s">
        <v>46</v>
      </c>
      <c r="X744" t="s">
        <v>46</v>
      </c>
      <c r="Y744" t="s">
        <v>46</v>
      </c>
      <c r="Z744" t="s">
        <v>46</v>
      </c>
      <c r="AA744" t="s">
        <v>46</v>
      </c>
      <c r="AB744" s="2" t="s">
        <v>43</v>
      </c>
      <c r="AC744" t="s">
        <v>43</v>
      </c>
      <c r="AD744" t="s">
        <v>43</v>
      </c>
      <c r="AE744" t="s">
        <v>43</v>
      </c>
      <c r="AF744" t="s">
        <v>43</v>
      </c>
      <c r="AG744" t="s">
        <v>43</v>
      </c>
      <c r="AH744" s="2" t="s">
        <v>43</v>
      </c>
    </row>
    <row r="745" spans="1:34" ht="90">
      <c r="A745" s="6" t="s">
        <v>577</v>
      </c>
      <c r="B745" s="7">
        <v>46059</v>
      </c>
      <c r="C745" s="9" t="str">
        <f>HYPERLINK("https://eping.wto.org/en/Search?viewData= G/TBT/N/BDI/223/Add.2, G/TBT/N/KEN/1232/Add.2, G/TBT/N/RWA/649/Add.2, G/TBT/N/TZA/724/Add.2, G/TBT/N/UGA/1556/Add.2"," G/TBT/N/BDI/223/Add.2, G/TBT/N/KEN/1232/Add.2, G/TBT/N/RWA/649/Add.2, G/TBT/N/TZA/724/Add.2, G/TBT/N/UGA/1556/Add.2")</f>
        <v xml:space="preserve"> G/TBT/N/BDI/223/Add.2, G/TBT/N/KEN/1232/Add.2, G/TBT/N/RWA/649/Add.2, G/TBT/N/TZA/724/Add.2, G/TBT/N/UGA/1556/Add.2</v>
      </c>
      <c r="D745" s="8" t="s">
        <v>3097</v>
      </c>
      <c r="E745" s="8" t="s">
        <v>3098</v>
      </c>
      <c r="F745" s="8" t="s">
        <v>2819</v>
      </c>
      <c r="G745" s="8" t="s">
        <v>43</v>
      </c>
      <c r="H745" s="8" t="s">
        <v>2821</v>
      </c>
      <c r="I745" s="8" t="s">
        <v>2846</v>
      </c>
      <c r="J745" s="8" t="s">
        <v>43</v>
      </c>
      <c r="K745" s="8" t="s">
        <v>1029</v>
      </c>
      <c r="L745" s="6"/>
      <c r="M745" s="7" t="s">
        <v>43</v>
      </c>
      <c r="N745" s="7"/>
      <c r="O745" s="7"/>
      <c r="P745" s="6" t="s">
        <v>44</v>
      </c>
      <c r="Q745" s="6"/>
      <c r="R745" t="str">
        <f>HYPERLINK("https://docs.wto.org/imrd/directdoc.asp?DDFDocuments/t/G/TBTN22/BDI223A2.docx", "https://docs.wto.org/imrd/directdoc.asp?DDFDocuments/t/G/TBTN22/BDI223A2.docx")</f>
        <v>https://docs.wto.org/imrd/directdoc.asp?DDFDocuments/t/G/TBTN22/BDI223A2.docx</v>
      </c>
      <c r="S745" t="str">
        <f>HYPERLINK("https://docs.wto.org/imrd/directdoc.asp?DDFDocuments/u/G/TBTN22/BDI223A2.docx", "https://docs.wto.org/imrd/directdoc.asp?DDFDocuments/u/G/TBTN22/BDI223A2.docx")</f>
        <v>https://docs.wto.org/imrd/directdoc.asp?DDFDocuments/u/G/TBTN22/BDI223A2.docx</v>
      </c>
      <c r="T745" t="str">
        <f>HYPERLINK("https://docs.wto.org/imrd/directdoc.asp?DDFDocuments/v/G/TBTN22/BDI223A2.docx", "https://docs.wto.org/imrd/directdoc.asp?DDFDocuments/v/G/TBTN22/BDI223A2.docx")</f>
        <v>https://docs.wto.org/imrd/directdoc.asp?DDFDocuments/v/G/TBTN22/BDI223A2.docx</v>
      </c>
      <c r="U745" t="s">
        <v>64</v>
      </c>
      <c r="V745" t="s">
        <v>46</v>
      </c>
      <c r="W745" t="s">
        <v>46</v>
      </c>
      <c r="X745" t="s">
        <v>46</v>
      </c>
      <c r="Y745" t="s">
        <v>46</v>
      </c>
      <c r="Z745" t="s">
        <v>46</v>
      </c>
      <c r="AA745" t="s">
        <v>46</v>
      </c>
      <c r="AB745" s="2" t="s">
        <v>43</v>
      </c>
      <c r="AC745" t="s">
        <v>43</v>
      </c>
      <c r="AD745" t="s">
        <v>43</v>
      </c>
      <c r="AE745" t="s">
        <v>43</v>
      </c>
      <c r="AF745" t="s">
        <v>43</v>
      </c>
      <c r="AG745" t="s">
        <v>43</v>
      </c>
      <c r="AH745" s="2" t="s">
        <v>43</v>
      </c>
    </row>
    <row r="746" spans="1:34" ht="165">
      <c r="A746" s="6" t="s">
        <v>100</v>
      </c>
      <c r="B746" s="7">
        <v>46059</v>
      </c>
      <c r="C746" s="9" t="str">
        <f>HYPERLINK("https://eping.wto.org/en/Search?viewData= G/SPS/N/THA/758/Add.1"," G/SPS/N/THA/758/Add.1")</f>
        <v xml:space="preserve"> G/SPS/N/THA/758/Add.1</v>
      </c>
      <c r="D746" s="8" t="s">
        <v>3162</v>
      </c>
      <c r="E746" s="8" t="s">
        <v>3163</v>
      </c>
      <c r="F746" s="8" t="s">
        <v>3164</v>
      </c>
      <c r="G746" s="8" t="s">
        <v>3165</v>
      </c>
      <c r="H746" s="8" t="s">
        <v>43</v>
      </c>
      <c r="I746" s="8" t="s">
        <v>104</v>
      </c>
      <c r="J746" s="8" t="s">
        <v>43</v>
      </c>
      <c r="K746" s="8" t="s">
        <v>3166</v>
      </c>
      <c r="L746" s="6"/>
      <c r="M746" s="7" t="s">
        <v>43</v>
      </c>
      <c r="N746" s="7"/>
      <c r="O746" s="7"/>
      <c r="P746" s="6" t="s">
        <v>72</v>
      </c>
      <c r="Q746" s="6"/>
      <c r="R746" t="str">
        <f>HYPERLINK("https://docs.wto.org/imrd/directdoc.asp?DDFDocuments/t/G/SPS/NTHA758A1.docx", "https://docs.wto.org/imrd/directdoc.asp?DDFDocuments/t/G/SPS/NTHA758A1.docx")</f>
        <v>https://docs.wto.org/imrd/directdoc.asp?DDFDocuments/t/G/SPS/NTHA758A1.docx</v>
      </c>
      <c r="S746" t="str">
        <f>HYPERLINK("https://docs.wto.org/imrd/directdoc.asp?DDFDocuments/u/G/SPS/NTHA758A1.docx", "https://docs.wto.org/imrd/directdoc.asp?DDFDocuments/u/G/SPS/NTHA758A1.docx")</f>
        <v>https://docs.wto.org/imrd/directdoc.asp?DDFDocuments/u/G/SPS/NTHA758A1.docx</v>
      </c>
      <c r="T746" t="str">
        <f>HYPERLINK("https://docs.wto.org/imrd/directdoc.asp?DDFDocuments/v/G/SPS/NTHA758A1.docx", "https://docs.wto.org/imrd/directdoc.asp?DDFDocuments/v/G/SPS/NTHA758A1.docx")</f>
        <v>https://docs.wto.org/imrd/directdoc.asp?DDFDocuments/v/G/SPS/NTHA758A1.docx</v>
      </c>
      <c r="U746" t="s">
        <v>43</v>
      </c>
      <c r="V746" t="s">
        <v>43</v>
      </c>
      <c r="W746" t="s">
        <v>43</v>
      </c>
      <c r="X746" t="s">
        <v>43</v>
      </c>
      <c r="Y746" t="s">
        <v>43</v>
      </c>
      <c r="Z746" t="s">
        <v>43</v>
      </c>
      <c r="AA746" t="s">
        <v>43</v>
      </c>
      <c r="AB746" s="2" t="s">
        <v>43</v>
      </c>
      <c r="AC746" t="s">
        <v>43</v>
      </c>
      <c r="AD746" t="s">
        <v>43</v>
      </c>
      <c r="AE746" t="s">
        <v>43</v>
      </c>
      <c r="AF746" t="s">
        <v>43</v>
      </c>
      <c r="AG746" t="s">
        <v>43</v>
      </c>
      <c r="AH746" s="2" t="s">
        <v>43</v>
      </c>
    </row>
    <row r="747" spans="1:34" ht="75">
      <c r="A747" s="6" t="s">
        <v>356</v>
      </c>
      <c r="B747" s="7">
        <v>46059</v>
      </c>
      <c r="C747" s="9" t="str">
        <f>HYPERLINK("https://eping.wto.org/en/Search?viewData= G/SPS/N/EU/801/Add.1"," G/SPS/N/EU/801/Add.1")</f>
        <v xml:space="preserve"> G/SPS/N/EU/801/Add.1</v>
      </c>
      <c r="D747" s="8" t="s">
        <v>3167</v>
      </c>
      <c r="E747" s="8" t="s">
        <v>3168</v>
      </c>
      <c r="F747" s="8" t="s">
        <v>870</v>
      </c>
      <c r="G747" s="8" t="s">
        <v>871</v>
      </c>
      <c r="H747" s="8" t="s">
        <v>43</v>
      </c>
      <c r="I747" s="8" t="s">
        <v>58</v>
      </c>
      <c r="J747" s="8" t="s">
        <v>43</v>
      </c>
      <c r="K747" s="8" t="s">
        <v>3169</v>
      </c>
      <c r="L747" s="6"/>
      <c r="M747" s="7" t="s">
        <v>43</v>
      </c>
      <c r="N747" s="7"/>
      <c r="O747" s="7"/>
      <c r="P747" s="6" t="s">
        <v>44</v>
      </c>
      <c r="Q747" s="8" t="s">
        <v>3170</v>
      </c>
      <c r="R747" t="str">
        <f>HYPERLINK("https://docs.wto.org/imrd/directdoc.asp?DDFDocuments/t/G/SPS/NEU801A1.docx", "https://docs.wto.org/imrd/directdoc.asp?DDFDocuments/t/G/SPS/NEU801A1.docx")</f>
        <v>https://docs.wto.org/imrd/directdoc.asp?DDFDocuments/t/G/SPS/NEU801A1.docx</v>
      </c>
      <c r="S747" t="str">
        <f>HYPERLINK("https://docs.wto.org/imrd/directdoc.asp?DDFDocuments/u/G/SPS/NEU801A1.docx", "https://docs.wto.org/imrd/directdoc.asp?DDFDocuments/u/G/SPS/NEU801A1.docx")</f>
        <v>https://docs.wto.org/imrd/directdoc.asp?DDFDocuments/u/G/SPS/NEU801A1.docx</v>
      </c>
      <c r="T747" t="str">
        <f>HYPERLINK("https://docs.wto.org/imrd/directdoc.asp?DDFDocuments/v/G/SPS/NEU801A1.docx", "https://docs.wto.org/imrd/directdoc.asp?DDFDocuments/v/G/SPS/NEU801A1.docx")</f>
        <v>https://docs.wto.org/imrd/directdoc.asp?DDFDocuments/v/G/SPS/NEU801A1.docx</v>
      </c>
      <c r="U747" t="s">
        <v>43</v>
      </c>
      <c r="V747" t="s">
        <v>43</v>
      </c>
      <c r="W747" t="s">
        <v>43</v>
      </c>
      <c r="X747" t="s">
        <v>43</v>
      </c>
      <c r="Y747" t="s">
        <v>43</v>
      </c>
      <c r="Z747" t="s">
        <v>43</v>
      </c>
      <c r="AA747" t="s">
        <v>43</v>
      </c>
      <c r="AB747" s="2" t="s">
        <v>43</v>
      </c>
      <c r="AC747" t="s">
        <v>43</v>
      </c>
      <c r="AD747" t="s">
        <v>43</v>
      </c>
      <c r="AE747" t="s">
        <v>43</v>
      </c>
      <c r="AF747" t="s">
        <v>43</v>
      </c>
      <c r="AG747" t="s">
        <v>43</v>
      </c>
      <c r="AH747" s="2" t="s">
        <v>43</v>
      </c>
    </row>
    <row r="748" spans="1:34" ht="90">
      <c r="A748" s="6" t="s">
        <v>509</v>
      </c>
      <c r="B748" s="7">
        <v>46059</v>
      </c>
      <c r="C748" s="9" t="str">
        <f>HYPERLINK("https://eping.wto.org/en/Search?viewData= G/TBT/N/BDI/223/Add.2, G/TBT/N/KEN/1232/Add.2, G/TBT/N/RWA/649/Add.2, G/TBT/N/TZA/724/Add.2, G/TBT/N/UGA/1556/Add.2"," G/TBT/N/BDI/223/Add.2, G/TBT/N/KEN/1232/Add.2, G/TBT/N/RWA/649/Add.2, G/TBT/N/TZA/724/Add.2, G/TBT/N/UGA/1556/Add.2")</f>
        <v xml:space="preserve"> G/TBT/N/BDI/223/Add.2, G/TBT/N/KEN/1232/Add.2, G/TBT/N/RWA/649/Add.2, G/TBT/N/TZA/724/Add.2, G/TBT/N/UGA/1556/Add.2</v>
      </c>
      <c r="D748" s="8" t="s">
        <v>3097</v>
      </c>
      <c r="E748" s="8" t="s">
        <v>3098</v>
      </c>
      <c r="F748" s="8" t="s">
        <v>2819</v>
      </c>
      <c r="G748" s="8" t="s">
        <v>43</v>
      </c>
      <c r="H748" s="8" t="s">
        <v>2821</v>
      </c>
      <c r="I748" s="8" t="s">
        <v>2846</v>
      </c>
      <c r="J748" s="8" t="s">
        <v>43</v>
      </c>
      <c r="K748" s="8" t="s">
        <v>1029</v>
      </c>
      <c r="L748" s="6"/>
      <c r="M748" s="7" t="s">
        <v>43</v>
      </c>
      <c r="N748" s="7"/>
      <c r="O748" s="7"/>
      <c r="P748" s="6" t="s">
        <v>44</v>
      </c>
      <c r="Q748" s="6"/>
      <c r="R748" t="str">
        <f>HYPERLINK("https://docs.wto.org/imrd/directdoc.asp?DDFDocuments/t/G/TBTN22/BDI223A2.docx", "https://docs.wto.org/imrd/directdoc.asp?DDFDocuments/t/G/TBTN22/BDI223A2.docx")</f>
        <v>https://docs.wto.org/imrd/directdoc.asp?DDFDocuments/t/G/TBTN22/BDI223A2.docx</v>
      </c>
      <c r="S748" t="str">
        <f>HYPERLINK("https://docs.wto.org/imrd/directdoc.asp?DDFDocuments/u/G/TBTN22/BDI223A2.docx", "https://docs.wto.org/imrd/directdoc.asp?DDFDocuments/u/G/TBTN22/BDI223A2.docx")</f>
        <v>https://docs.wto.org/imrd/directdoc.asp?DDFDocuments/u/G/TBTN22/BDI223A2.docx</v>
      </c>
      <c r="T748" t="str">
        <f>HYPERLINK("https://docs.wto.org/imrd/directdoc.asp?DDFDocuments/v/G/TBTN22/BDI223A2.docx", "https://docs.wto.org/imrd/directdoc.asp?DDFDocuments/v/G/TBTN22/BDI223A2.docx")</f>
        <v>https://docs.wto.org/imrd/directdoc.asp?DDFDocuments/v/G/TBTN22/BDI223A2.docx</v>
      </c>
      <c r="U748" t="s">
        <v>64</v>
      </c>
      <c r="V748" t="s">
        <v>46</v>
      </c>
      <c r="W748" t="s">
        <v>46</v>
      </c>
      <c r="X748" t="s">
        <v>46</v>
      </c>
      <c r="Y748" t="s">
        <v>46</v>
      </c>
      <c r="Z748" t="s">
        <v>46</v>
      </c>
      <c r="AA748" t="s">
        <v>46</v>
      </c>
      <c r="AB748" s="2" t="s">
        <v>43</v>
      </c>
      <c r="AC748" t="s">
        <v>43</v>
      </c>
      <c r="AD748" t="s">
        <v>43</v>
      </c>
      <c r="AE748" t="s">
        <v>43</v>
      </c>
      <c r="AF748" t="s">
        <v>43</v>
      </c>
      <c r="AG748" t="s">
        <v>43</v>
      </c>
      <c r="AH748" s="2" t="s">
        <v>43</v>
      </c>
    </row>
    <row r="749" spans="1:34" ht="60">
      <c r="A749" s="6" t="s">
        <v>390</v>
      </c>
      <c r="B749" s="7">
        <v>46059</v>
      </c>
      <c r="C749" s="9" t="str">
        <f>HYPERLINK("https://eping.wto.org/en/Search?viewData= G/TBT/N/BDI/224/Add.2, G/TBT/N/KEN/1233/Add.2, G/TBT/N/RWA/650/Add.2, G/TBT/N/TZA/725/Add.2, G/TBT/N/UGA/1557/Add.2"," G/TBT/N/BDI/224/Add.2, G/TBT/N/KEN/1233/Add.2, G/TBT/N/RWA/650/Add.2, G/TBT/N/TZA/725/Add.2, G/TBT/N/UGA/1557/Add.2")</f>
        <v xml:space="preserve"> G/TBT/N/BDI/224/Add.2, G/TBT/N/KEN/1233/Add.2, G/TBT/N/RWA/650/Add.2, G/TBT/N/TZA/725/Add.2, G/TBT/N/UGA/1557/Add.2</v>
      </c>
      <c r="D749" s="8" t="s">
        <v>3099</v>
      </c>
      <c r="E749" s="8" t="s">
        <v>3100</v>
      </c>
      <c r="F749" s="8" t="s">
        <v>2819</v>
      </c>
      <c r="G749" s="8" t="s">
        <v>43</v>
      </c>
      <c r="H749" s="8" t="s">
        <v>2821</v>
      </c>
      <c r="I749" s="8" t="s">
        <v>2838</v>
      </c>
      <c r="J749" s="8" t="s">
        <v>43</v>
      </c>
      <c r="K749" s="8" t="s">
        <v>1029</v>
      </c>
      <c r="L749" s="6"/>
      <c r="M749" s="7" t="s">
        <v>43</v>
      </c>
      <c r="N749" s="7"/>
      <c r="O749" s="7"/>
      <c r="P749" s="6" t="s">
        <v>44</v>
      </c>
      <c r="Q749" s="6"/>
      <c r="R749" t="str">
        <f>HYPERLINK("https://docs.wto.org/imrd/directdoc.asp?DDFDocuments/t/G/TBTN22/BDI224A2.docx", "https://docs.wto.org/imrd/directdoc.asp?DDFDocuments/t/G/TBTN22/BDI224A2.docx")</f>
        <v>https://docs.wto.org/imrd/directdoc.asp?DDFDocuments/t/G/TBTN22/BDI224A2.docx</v>
      </c>
      <c r="S749" t="str">
        <f>HYPERLINK("https://docs.wto.org/imrd/directdoc.asp?DDFDocuments/u/G/TBTN22/BDI224A2.docx", "https://docs.wto.org/imrd/directdoc.asp?DDFDocuments/u/G/TBTN22/BDI224A2.docx")</f>
        <v>https://docs.wto.org/imrd/directdoc.asp?DDFDocuments/u/G/TBTN22/BDI224A2.docx</v>
      </c>
      <c r="T749" t="str">
        <f>HYPERLINK("https://docs.wto.org/imrd/directdoc.asp?DDFDocuments/v/G/TBTN22/BDI224A2.docx", "https://docs.wto.org/imrd/directdoc.asp?DDFDocuments/v/G/TBTN22/BDI224A2.docx")</f>
        <v>https://docs.wto.org/imrd/directdoc.asp?DDFDocuments/v/G/TBTN22/BDI224A2.docx</v>
      </c>
      <c r="U749" t="s">
        <v>64</v>
      </c>
      <c r="V749" t="s">
        <v>46</v>
      </c>
      <c r="W749" t="s">
        <v>46</v>
      </c>
      <c r="X749" t="s">
        <v>46</v>
      </c>
      <c r="Y749" t="s">
        <v>46</v>
      </c>
      <c r="Z749" t="s">
        <v>46</v>
      </c>
      <c r="AA749" t="s">
        <v>46</v>
      </c>
      <c r="AB749" s="2" t="s">
        <v>43</v>
      </c>
      <c r="AC749" t="s">
        <v>43</v>
      </c>
      <c r="AD749" t="s">
        <v>43</v>
      </c>
      <c r="AE749" t="s">
        <v>43</v>
      </c>
      <c r="AF749" t="s">
        <v>43</v>
      </c>
      <c r="AG749" t="s">
        <v>43</v>
      </c>
      <c r="AH749" s="2" t="s">
        <v>43</v>
      </c>
    </row>
    <row r="750" spans="1:34" ht="90">
      <c r="A750" s="6" t="s">
        <v>356</v>
      </c>
      <c r="B750" s="7">
        <v>46059</v>
      </c>
      <c r="C750" s="9" t="str">
        <f>HYPERLINK("https://eping.wto.org/en/Search?viewData= G/SPS/N/EU/885/Add.1"," G/SPS/N/EU/885/Add.1")</f>
        <v xml:space="preserve"> G/SPS/N/EU/885/Add.1</v>
      </c>
      <c r="D750" s="8" t="s">
        <v>3171</v>
      </c>
      <c r="E750" s="8" t="s">
        <v>3172</v>
      </c>
      <c r="F750" s="8" t="s">
        <v>3173</v>
      </c>
      <c r="G750" s="8" t="s">
        <v>43</v>
      </c>
      <c r="H750" s="8" t="s">
        <v>43</v>
      </c>
      <c r="I750" s="8" t="s">
        <v>58</v>
      </c>
      <c r="J750" s="8" t="s">
        <v>43</v>
      </c>
      <c r="K750" s="8" t="s">
        <v>3174</v>
      </c>
      <c r="L750" s="6"/>
      <c r="M750" s="7" t="s">
        <v>43</v>
      </c>
      <c r="N750" s="7"/>
      <c r="O750" s="7"/>
      <c r="P750" s="6" t="s">
        <v>44</v>
      </c>
      <c r="Q750" s="8" t="s">
        <v>3175</v>
      </c>
      <c r="R750" t="str">
        <f>HYPERLINK("https://docs.wto.org/imrd/directdoc.asp?DDFDocuments/t/G/SPS/NEU885A1.docx", "https://docs.wto.org/imrd/directdoc.asp?DDFDocuments/t/G/SPS/NEU885A1.docx")</f>
        <v>https://docs.wto.org/imrd/directdoc.asp?DDFDocuments/t/G/SPS/NEU885A1.docx</v>
      </c>
      <c r="S750" t="str">
        <f>HYPERLINK("https://docs.wto.org/imrd/directdoc.asp?DDFDocuments/u/G/SPS/NEU885A1.docx", "https://docs.wto.org/imrd/directdoc.asp?DDFDocuments/u/G/SPS/NEU885A1.docx")</f>
        <v>https://docs.wto.org/imrd/directdoc.asp?DDFDocuments/u/G/SPS/NEU885A1.docx</v>
      </c>
      <c r="T750" t="str">
        <f>HYPERLINK("https://docs.wto.org/imrd/directdoc.asp?DDFDocuments/v/G/SPS/NEU885A1.docx", "https://docs.wto.org/imrd/directdoc.asp?DDFDocuments/v/G/SPS/NEU885A1.docx")</f>
        <v>https://docs.wto.org/imrd/directdoc.asp?DDFDocuments/v/G/SPS/NEU885A1.docx</v>
      </c>
      <c r="U750" t="s">
        <v>43</v>
      </c>
      <c r="V750" t="s">
        <v>43</v>
      </c>
      <c r="W750" t="s">
        <v>43</v>
      </c>
      <c r="X750" t="s">
        <v>43</v>
      </c>
      <c r="Y750" t="s">
        <v>43</v>
      </c>
      <c r="Z750" t="s">
        <v>43</v>
      </c>
      <c r="AA750" t="s">
        <v>43</v>
      </c>
      <c r="AB750" s="2" t="s">
        <v>43</v>
      </c>
      <c r="AC750" t="s">
        <v>43</v>
      </c>
      <c r="AD750" t="s">
        <v>43</v>
      </c>
      <c r="AE750" t="s">
        <v>43</v>
      </c>
      <c r="AF750" t="s">
        <v>43</v>
      </c>
      <c r="AG750" t="s">
        <v>43</v>
      </c>
      <c r="AH750" s="2" t="s">
        <v>43</v>
      </c>
    </row>
    <row r="751" spans="1:34" ht="60">
      <c r="A751" s="6" t="s">
        <v>1328</v>
      </c>
      <c r="B751" s="7">
        <v>46059</v>
      </c>
      <c r="C751" s="9" t="str">
        <f>HYPERLINK("https://eping.wto.org/en/Search?viewData= G/SPS/N/PHL/540"," G/SPS/N/PHL/540")</f>
        <v xml:space="preserve"> G/SPS/N/PHL/540</v>
      </c>
      <c r="D751" s="8" t="s">
        <v>3176</v>
      </c>
      <c r="E751" s="8" t="s">
        <v>3177</v>
      </c>
      <c r="F751" s="8" t="s">
        <v>3178</v>
      </c>
      <c r="G751" s="8" t="s">
        <v>3179</v>
      </c>
      <c r="H751" s="8" t="s">
        <v>650</v>
      </c>
      <c r="I751" s="8" t="s">
        <v>104</v>
      </c>
      <c r="J751" s="8" t="s">
        <v>43</v>
      </c>
      <c r="K751" s="8" t="s">
        <v>530</v>
      </c>
      <c r="L751" s="6" t="s">
        <v>43</v>
      </c>
      <c r="M751" s="7">
        <v>46090</v>
      </c>
      <c r="N751" s="7">
        <v>46090</v>
      </c>
      <c r="O751" s="7">
        <v>46266</v>
      </c>
      <c r="P751" s="6" t="s">
        <v>62</v>
      </c>
      <c r="Q751" s="8" t="s">
        <v>3180</v>
      </c>
      <c r="R751" t="str">
        <f>HYPERLINK("https://docs.wto.org/imrd/directdoc.asp?DDFDocuments/t/G/SPS/NPHL540.docx", "https://docs.wto.org/imrd/directdoc.asp?DDFDocuments/t/G/SPS/NPHL540.docx")</f>
        <v>https://docs.wto.org/imrd/directdoc.asp?DDFDocuments/t/G/SPS/NPHL540.docx</v>
      </c>
      <c r="S751" t="str">
        <f>HYPERLINK("https://docs.wto.org/imrd/directdoc.asp?DDFDocuments/u/G/SPS/NPHL540.docx", "https://docs.wto.org/imrd/directdoc.asp?DDFDocuments/u/G/SPS/NPHL540.docx")</f>
        <v>https://docs.wto.org/imrd/directdoc.asp?DDFDocuments/u/G/SPS/NPHL540.docx</v>
      </c>
      <c r="T751" t="str">
        <f>HYPERLINK("https://docs.wto.org/imrd/directdoc.asp?DDFDocuments/v/G/SPS/NPHL540.docx", "https://docs.wto.org/imrd/directdoc.asp?DDFDocuments/v/G/SPS/NPHL540.docx")</f>
        <v>https://docs.wto.org/imrd/directdoc.asp?DDFDocuments/v/G/SPS/NPHL540.docx</v>
      </c>
      <c r="U751" t="s">
        <v>43</v>
      </c>
      <c r="V751" t="s">
        <v>43</v>
      </c>
      <c r="W751" t="s">
        <v>43</v>
      </c>
      <c r="X751" t="s">
        <v>43</v>
      </c>
      <c r="Y751" t="s">
        <v>43</v>
      </c>
      <c r="Z751" t="s">
        <v>43</v>
      </c>
      <c r="AA751" t="s">
        <v>43</v>
      </c>
      <c r="AB751" s="2" t="s">
        <v>43</v>
      </c>
      <c r="AC751" t="s">
        <v>46</v>
      </c>
      <c r="AD751" t="s">
        <v>64</v>
      </c>
      <c r="AE751" t="s">
        <v>46</v>
      </c>
      <c r="AF751" t="s">
        <v>46</v>
      </c>
      <c r="AG751" t="s">
        <v>64</v>
      </c>
      <c r="AH751" s="2" t="s">
        <v>43</v>
      </c>
    </row>
    <row r="752" spans="1:34" ht="75">
      <c r="A752" s="6" t="s">
        <v>108</v>
      </c>
      <c r="B752" s="7">
        <v>46059</v>
      </c>
      <c r="C752" s="9" t="str">
        <f>HYPERLINK("https://eping.wto.org/en/Search?viewData= G/TBT/N/BDI/242/Add.3, G/TBT/N/KEN/1261/Add.3, G/TBT/N/RWA/672/Add.3, G/TBT/N/TZA/782/Add.3, G/TBT/N/UGA/1595/Add.3"," G/TBT/N/BDI/242/Add.3, G/TBT/N/KEN/1261/Add.3, G/TBT/N/RWA/672/Add.3, G/TBT/N/TZA/782/Add.3, G/TBT/N/UGA/1595/Add.3")</f>
        <v xml:space="preserve"> G/TBT/N/BDI/242/Add.3, G/TBT/N/KEN/1261/Add.3, G/TBT/N/RWA/672/Add.3, G/TBT/N/TZA/782/Add.3, G/TBT/N/UGA/1595/Add.3</v>
      </c>
      <c r="D752" s="8" t="s">
        <v>3075</v>
      </c>
      <c r="E752" s="8" t="s">
        <v>3076</v>
      </c>
      <c r="F752" s="8" t="s">
        <v>3077</v>
      </c>
      <c r="G752" s="8" t="s">
        <v>3078</v>
      </c>
      <c r="H752" s="8" t="s">
        <v>1959</v>
      </c>
      <c r="I752" s="8" t="s">
        <v>3093</v>
      </c>
      <c r="J752" s="8"/>
      <c r="K752" s="8" t="s">
        <v>3080</v>
      </c>
      <c r="L752" s="6"/>
      <c r="M752" s="7" t="s">
        <v>43</v>
      </c>
      <c r="N752" s="7"/>
      <c r="O752" s="7"/>
      <c r="P752" s="6" t="s">
        <v>44</v>
      </c>
      <c r="Q752" s="6"/>
      <c r="R752" t="str">
        <f>HYPERLINK("https://docs.wto.org/imrd/directdoc.asp?DDFDocuments/t/G/TBTN22/BDI242A3.docx", "https://docs.wto.org/imrd/directdoc.asp?DDFDocuments/t/G/TBTN22/BDI242A3.docx")</f>
        <v>https://docs.wto.org/imrd/directdoc.asp?DDFDocuments/t/G/TBTN22/BDI242A3.docx</v>
      </c>
      <c r="S752" t="str">
        <f>HYPERLINK("https://docs.wto.org/imrd/directdoc.asp?DDFDocuments/u/G/TBTN22/BDI242A3.docx", "https://docs.wto.org/imrd/directdoc.asp?DDFDocuments/u/G/TBTN22/BDI242A3.docx")</f>
        <v>https://docs.wto.org/imrd/directdoc.asp?DDFDocuments/u/G/TBTN22/BDI242A3.docx</v>
      </c>
      <c r="T752" t="str">
        <f>HYPERLINK("https://docs.wto.org/imrd/directdoc.asp?DDFDocuments/v/G/TBTN22/BDI242A3.docx", "https://docs.wto.org/imrd/directdoc.asp?DDFDocuments/v/G/TBTN22/BDI242A3.docx")</f>
        <v>https://docs.wto.org/imrd/directdoc.asp?DDFDocuments/v/G/TBTN22/BDI242A3.docx</v>
      </c>
      <c r="U752" t="s">
        <v>64</v>
      </c>
      <c r="V752" t="s">
        <v>46</v>
      </c>
      <c r="W752" t="s">
        <v>46</v>
      </c>
      <c r="X752" t="s">
        <v>46</v>
      </c>
      <c r="Y752" t="s">
        <v>46</v>
      </c>
      <c r="Z752" t="s">
        <v>46</v>
      </c>
      <c r="AA752" t="s">
        <v>46</v>
      </c>
      <c r="AB752" s="2" t="s">
        <v>43</v>
      </c>
      <c r="AC752" t="s">
        <v>43</v>
      </c>
      <c r="AD752" t="s">
        <v>43</v>
      </c>
      <c r="AE752" t="s">
        <v>43</v>
      </c>
      <c r="AF752" t="s">
        <v>43</v>
      </c>
      <c r="AG752" t="s">
        <v>43</v>
      </c>
      <c r="AH752" s="2" t="s">
        <v>43</v>
      </c>
    </row>
    <row r="753" spans="1:34" ht="90">
      <c r="A753" s="6" t="s">
        <v>108</v>
      </c>
      <c r="B753" s="7">
        <v>46059</v>
      </c>
      <c r="C753" s="9" t="str">
        <f>HYPERLINK("https://eping.wto.org/en/Search?viewData= G/TBT/N/BDI/220/Add.2, G/TBT/N/KEN/1229/Add.2, G/TBT/N/RWA/646/Add.2, G/TBT/N/TZA/721/Add.2, G/TBT/N/UGA/1553/Add.2"," G/TBT/N/BDI/220/Add.2, G/TBT/N/KEN/1229/Add.2, G/TBT/N/RWA/646/Add.2, G/TBT/N/TZA/721/Add.2, G/TBT/N/UGA/1553/Add.2")</f>
        <v xml:space="preserve"> G/TBT/N/BDI/220/Add.2, G/TBT/N/KEN/1229/Add.2, G/TBT/N/RWA/646/Add.2, G/TBT/N/TZA/721/Add.2, G/TBT/N/UGA/1553/Add.2</v>
      </c>
      <c r="D753" s="8" t="s">
        <v>3114</v>
      </c>
      <c r="E753" s="8" t="s">
        <v>3115</v>
      </c>
      <c r="F753" s="8" t="s">
        <v>2819</v>
      </c>
      <c r="G753" s="8" t="s">
        <v>43</v>
      </c>
      <c r="H753" s="8" t="s">
        <v>2821</v>
      </c>
      <c r="I753" s="8" t="s">
        <v>2846</v>
      </c>
      <c r="J753" s="8" t="s">
        <v>43</v>
      </c>
      <c r="K753" s="8" t="s">
        <v>1029</v>
      </c>
      <c r="L753" s="6"/>
      <c r="M753" s="7" t="s">
        <v>43</v>
      </c>
      <c r="N753" s="7"/>
      <c r="O753" s="7"/>
      <c r="P753" s="6" t="s">
        <v>44</v>
      </c>
      <c r="Q753" s="6"/>
      <c r="R753" t="str">
        <f>HYPERLINK("https://docs.wto.org/imrd/directdoc.asp?DDFDocuments/t/G/TBTN22/BDI220A2.docx", "https://docs.wto.org/imrd/directdoc.asp?DDFDocuments/t/G/TBTN22/BDI220A2.docx")</f>
        <v>https://docs.wto.org/imrd/directdoc.asp?DDFDocuments/t/G/TBTN22/BDI220A2.docx</v>
      </c>
      <c r="S753" t="str">
        <f>HYPERLINK("https://docs.wto.org/imrd/directdoc.asp?DDFDocuments/u/G/TBTN22/BDI220A2.docx", "https://docs.wto.org/imrd/directdoc.asp?DDFDocuments/u/G/TBTN22/BDI220A2.docx")</f>
        <v>https://docs.wto.org/imrd/directdoc.asp?DDFDocuments/u/G/TBTN22/BDI220A2.docx</v>
      </c>
      <c r="T753" t="str">
        <f>HYPERLINK("https://docs.wto.org/imrd/directdoc.asp?DDFDocuments/v/G/TBTN22/BDI220A2.docx", "https://docs.wto.org/imrd/directdoc.asp?DDFDocuments/v/G/TBTN22/BDI220A2.docx")</f>
        <v>https://docs.wto.org/imrd/directdoc.asp?DDFDocuments/v/G/TBTN22/BDI220A2.docx</v>
      </c>
      <c r="U753" t="s">
        <v>64</v>
      </c>
      <c r="V753" t="s">
        <v>46</v>
      </c>
      <c r="W753" t="s">
        <v>46</v>
      </c>
      <c r="X753" t="s">
        <v>46</v>
      </c>
      <c r="Y753" t="s">
        <v>46</v>
      </c>
      <c r="Z753" t="s">
        <v>46</v>
      </c>
      <c r="AA753" t="s">
        <v>46</v>
      </c>
      <c r="AB753" s="2" t="s">
        <v>43</v>
      </c>
      <c r="AC753" t="s">
        <v>43</v>
      </c>
      <c r="AD753" t="s">
        <v>43</v>
      </c>
      <c r="AE753" t="s">
        <v>43</v>
      </c>
      <c r="AF753" t="s">
        <v>43</v>
      </c>
      <c r="AG753" t="s">
        <v>43</v>
      </c>
      <c r="AH753" s="2" t="s">
        <v>43</v>
      </c>
    </row>
    <row r="754" spans="1:34" ht="90">
      <c r="A754" s="6" t="s">
        <v>577</v>
      </c>
      <c r="B754" s="7">
        <v>46059</v>
      </c>
      <c r="C754" s="9" t="str">
        <f>HYPERLINK("https://eping.wto.org/en/Search?viewData= G/TBT/N/BDI/221/Add.3, G/TBT/N/KEN/1230/Add.3, G/TBT/N/RWA/647/Add.3, G/TBT/N/TZA/722/Add.3, G/TBT/N/UGA/1554/Add.3"," G/TBT/N/BDI/221/Add.3, G/TBT/N/KEN/1230/Add.3, G/TBT/N/RWA/647/Add.3, G/TBT/N/TZA/722/Add.3, G/TBT/N/UGA/1554/Add.3")</f>
        <v xml:space="preserve"> G/TBT/N/BDI/221/Add.3, G/TBT/N/KEN/1230/Add.3, G/TBT/N/RWA/647/Add.3, G/TBT/N/TZA/722/Add.3, G/TBT/N/UGA/1554/Add.3</v>
      </c>
      <c r="D754" s="8" t="s">
        <v>3131</v>
      </c>
      <c r="E754" s="8" t="s">
        <v>3132</v>
      </c>
      <c r="F754" s="8" t="s">
        <v>2819</v>
      </c>
      <c r="G754" s="8" t="s">
        <v>43</v>
      </c>
      <c r="H754" s="8" t="s">
        <v>2821</v>
      </c>
      <c r="I754" s="8" t="s">
        <v>2846</v>
      </c>
      <c r="J754" s="8" t="s">
        <v>43</v>
      </c>
      <c r="K754" s="8" t="s">
        <v>1029</v>
      </c>
      <c r="L754" s="6"/>
      <c r="M754" s="7" t="s">
        <v>43</v>
      </c>
      <c r="N754" s="7"/>
      <c r="O754" s="7"/>
      <c r="P754" s="6" t="s">
        <v>44</v>
      </c>
      <c r="Q754" s="6"/>
      <c r="R754" t="str">
        <f>HYPERLINK("https://docs.wto.org/imrd/directdoc.asp?DDFDocuments/t/G/TBTN22/BDI221A3.docx", "https://docs.wto.org/imrd/directdoc.asp?DDFDocuments/t/G/TBTN22/BDI221A3.docx")</f>
        <v>https://docs.wto.org/imrd/directdoc.asp?DDFDocuments/t/G/TBTN22/BDI221A3.docx</v>
      </c>
      <c r="S754" t="str">
        <f>HYPERLINK("https://docs.wto.org/imrd/directdoc.asp?DDFDocuments/u/G/TBTN22/BDI221A3.docx", "https://docs.wto.org/imrd/directdoc.asp?DDFDocuments/u/G/TBTN22/BDI221A3.docx")</f>
        <v>https://docs.wto.org/imrd/directdoc.asp?DDFDocuments/u/G/TBTN22/BDI221A3.docx</v>
      </c>
      <c r="T754" t="str">
        <f>HYPERLINK("https://docs.wto.org/imrd/directdoc.asp?DDFDocuments/v/G/TBTN22/BDI221A3.docx", "https://docs.wto.org/imrd/directdoc.asp?DDFDocuments/v/G/TBTN22/BDI221A3.docx")</f>
        <v>https://docs.wto.org/imrd/directdoc.asp?DDFDocuments/v/G/TBTN22/BDI221A3.docx</v>
      </c>
      <c r="U754" t="s">
        <v>64</v>
      </c>
      <c r="V754" t="s">
        <v>46</v>
      </c>
      <c r="W754" t="s">
        <v>46</v>
      </c>
      <c r="X754" t="s">
        <v>46</v>
      </c>
      <c r="Y754" t="s">
        <v>46</v>
      </c>
      <c r="Z754" t="s">
        <v>46</v>
      </c>
      <c r="AA754" t="s">
        <v>46</v>
      </c>
      <c r="AB754" s="2" t="s">
        <v>43</v>
      </c>
      <c r="AC754" t="s">
        <v>43</v>
      </c>
      <c r="AD754" t="s">
        <v>43</v>
      </c>
      <c r="AE754" t="s">
        <v>43</v>
      </c>
      <c r="AF754" t="s">
        <v>43</v>
      </c>
      <c r="AG754" t="s">
        <v>43</v>
      </c>
      <c r="AH754" s="2" t="s">
        <v>43</v>
      </c>
    </row>
    <row r="755" spans="1:34" ht="165">
      <c r="A755" s="6" t="s">
        <v>100</v>
      </c>
      <c r="B755" s="7">
        <v>46059</v>
      </c>
      <c r="C755" s="9" t="str">
        <f>HYPERLINK("https://eping.wto.org/en/Search?viewData= G/SPS/N/THA/757/Add.1"," G/SPS/N/THA/757/Add.1")</f>
        <v xml:space="preserve"> G/SPS/N/THA/757/Add.1</v>
      </c>
      <c r="D755" s="8" t="s">
        <v>3181</v>
      </c>
      <c r="E755" s="8" t="s">
        <v>3182</v>
      </c>
      <c r="F755" s="8" t="s">
        <v>3183</v>
      </c>
      <c r="G755" s="8" t="s">
        <v>3165</v>
      </c>
      <c r="H755" s="8" t="s">
        <v>43</v>
      </c>
      <c r="I755" s="8" t="s">
        <v>104</v>
      </c>
      <c r="J755" s="8" t="s">
        <v>43</v>
      </c>
      <c r="K755" s="8" t="s">
        <v>3184</v>
      </c>
      <c r="L755" s="6"/>
      <c r="M755" s="7" t="s">
        <v>43</v>
      </c>
      <c r="N755" s="7"/>
      <c r="O755" s="7"/>
      <c r="P755" s="6" t="s">
        <v>72</v>
      </c>
      <c r="Q755" s="6"/>
      <c r="R755" t="str">
        <f>HYPERLINK("https://docs.wto.org/imrd/directdoc.asp?DDFDocuments/t/G/SPS/NTHA757A1.docx", "https://docs.wto.org/imrd/directdoc.asp?DDFDocuments/t/G/SPS/NTHA757A1.docx")</f>
        <v>https://docs.wto.org/imrd/directdoc.asp?DDFDocuments/t/G/SPS/NTHA757A1.docx</v>
      </c>
      <c r="S755" t="str">
        <f>HYPERLINK("https://docs.wto.org/imrd/directdoc.asp?DDFDocuments/u/G/SPS/NTHA757A1.docx", "https://docs.wto.org/imrd/directdoc.asp?DDFDocuments/u/G/SPS/NTHA757A1.docx")</f>
        <v>https://docs.wto.org/imrd/directdoc.asp?DDFDocuments/u/G/SPS/NTHA757A1.docx</v>
      </c>
      <c r="T755" t="str">
        <f>HYPERLINK("https://docs.wto.org/imrd/directdoc.asp?DDFDocuments/v/G/SPS/NTHA757A1.docx", "https://docs.wto.org/imrd/directdoc.asp?DDFDocuments/v/G/SPS/NTHA757A1.docx")</f>
        <v>https://docs.wto.org/imrd/directdoc.asp?DDFDocuments/v/G/SPS/NTHA757A1.docx</v>
      </c>
      <c r="U755" t="s">
        <v>43</v>
      </c>
      <c r="V755" t="s">
        <v>43</v>
      </c>
      <c r="W755" t="s">
        <v>43</v>
      </c>
      <c r="X755" t="s">
        <v>43</v>
      </c>
      <c r="Y755" t="s">
        <v>43</v>
      </c>
      <c r="Z755" t="s">
        <v>43</v>
      </c>
      <c r="AA755" t="s">
        <v>43</v>
      </c>
      <c r="AB755" s="2" t="s">
        <v>43</v>
      </c>
      <c r="AC755" t="s">
        <v>43</v>
      </c>
      <c r="AD755" t="s">
        <v>43</v>
      </c>
      <c r="AE755" t="s">
        <v>43</v>
      </c>
      <c r="AF755" t="s">
        <v>43</v>
      </c>
      <c r="AG755" t="s">
        <v>43</v>
      </c>
      <c r="AH755" s="2" t="s">
        <v>43</v>
      </c>
    </row>
    <row r="756" spans="1:34" ht="285">
      <c r="A756" s="6" t="s">
        <v>54</v>
      </c>
      <c r="B756" s="7">
        <v>46059</v>
      </c>
      <c r="C756" s="9" t="str">
        <f>HYPERLINK("https://eping.wto.org/en/Search?viewData= G/TBT/N/AUS/196"," G/TBT/N/AUS/196")</f>
        <v xml:space="preserve"> G/TBT/N/AUS/196</v>
      </c>
      <c r="D756" s="8" t="s">
        <v>3185</v>
      </c>
      <c r="E756" s="8" t="s">
        <v>3186</v>
      </c>
      <c r="F756" s="8" t="s">
        <v>3187</v>
      </c>
      <c r="G756" s="8" t="s">
        <v>3188</v>
      </c>
      <c r="H756" s="8" t="s">
        <v>1075</v>
      </c>
      <c r="I756" s="8" t="s">
        <v>1124</v>
      </c>
      <c r="J756" s="8" t="s">
        <v>3189</v>
      </c>
      <c r="K756" s="8" t="s">
        <v>43</v>
      </c>
      <c r="L756" s="6"/>
      <c r="M756" s="7">
        <v>46119</v>
      </c>
      <c r="N756" s="7" t="s">
        <v>3190</v>
      </c>
      <c r="O756" s="7" t="s">
        <v>3191</v>
      </c>
      <c r="P756" s="6" t="s">
        <v>62</v>
      </c>
      <c r="Q756" s="8" t="s">
        <v>3192</v>
      </c>
      <c r="R756" t="str">
        <f>HYPERLINK("https://docs.wto.org/imrd/directdoc.asp?DDFDocuments/t/G/TBTN26/AUS196.docx", "https://docs.wto.org/imrd/directdoc.asp?DDFDocuments/t/G/TBTN26/AUS196.docx")</f>
        <v>https://docs.wto.org/imrd/directdoc.asp?DDFDocuments/t/G/TBTN26/AUS196.docx</v>
      </c>
      <c r="S756" t="str">
        <f>HYPERLINK("https://docs.wto.org/imrd/directdoc.asp?DDFDocuments/u/G/TBTN26/AUS196.docx", "https://docs.wto.org/imrd/directdoc.asp?DDFDocuments/u/G/TBTN26/AUS196.docx")</f>
        <v>https://docs.wto.org/imrd/directdoc.asp?DDFDocuments/u/G/TBTN26/AUS196.docx</v>
      </c>
      <c r="T756" t="str">
        <f>HYPERLINK("https://docs.wto.org/imrd/directdoc.asp?DDFDocuments/v/G/TBTN26/AUS196.docx", "https://docs.wto.org/imrd/directdoc.asp?DDFDocuments/v/G/TBTN26/AUS196.docx")</f>
        <v>https://docs.wto.org/imrd/directdoc.asp?DDFDocuments/v/G/TBTN26/AUS196.docx</v>
      </c>
      <c r="U756" t="s">
        <v>64</v>
      </c>
      <c r="V756" t="s">
        <v>46</v>
      </c>
      <c r="W756" t="s">
        <v>46</v>
      </c>
      <c r="X756" t="s">
        <v>46</v>
      </c>
      <c r="Y756" t="s">
        <v>46</v>
      </c>
      <c r="Z756" t="s">
        <v>46</v>
      </c>
      <c r="AA756" t="s">
        <v>46</v>
      </c>
      <c r="AB756" s="2" t="s">
        <v>3193</v>
      </c>
      <c r="AC756" t="s">
        <v>43</v>
      </c>
      <c r="AD756" t="s">
        <v>43</v>
      </c>
      <c r="AE756" t="s">
        <v>43</v>
      </c>
      <c r="AF756" t="s">
        <v>43</v>
      </c>
      <c r="AG756" t="s">
        <v>43</v>
      </c>
      <c r="AH756" s="2" t="s">
        <v>43</v>
      </c>
    </row>
    <row r="757" spans="1:34" ht="60">
      <c r="A757" s="6" t="s">
        <v>108</v>
      </c>
      <c r="B757" s="7">
        <v>46059</v>
      </c>
      <c r="C757" s="9" t="str">
        <f>HYPERLINK("https://eping.wto.org/en/Search?viewData= G/SPS/N/BDI/14/Add.2, G/SPS/N/KEN/166/Add.2, G/SPS/N/RWA/7/Add.2, G/SPS/N/TZA/198/Add.2, G/SPS/N/UGA/208/Add.2"," G/SPS/N/BDI/14/Add.2, G/SPS/N/KEN/166/Add.2, G/SPS/N/RWA/7/Add.2, G/SPS/N/TZA/198/Add.2, G/SPS/N/UGA/208/Add.2")</f>
        <v xml:space="preserve"> G/SPS/N/BDI/14/Add.2, G/SPS/N/KEN/166/Add.2, G/SPS/N/RWA/7/Add.2, G/SPS/N/TZA/198/Add.2, G/SPS/N/UGA/208/Add.2</v>
      </c>
      <c r="D757" s="8" t="s">
        <v>3109</v>
      </c>
      <c r="E757" s="8" t="s">
        <v>3110</v>
      </c>
      <c r="F757" s="8" t="s">
        <v>3111</v>
      </c>
      <c r="G757" s="8" t="s">
        <v>3112</v>
      </c>
      <c r="H757" s="8" t="s">
        <v>2826</v>
      </c>
      <c r="I757" s="8" t="s">
        <v>58</v>
      </c>
      <c r="J757" s="8" t="s">
        <v>43</v>
      </c>
      <c r="K757" s="8" t="s">
        <v>3113</v>
      </c>
      <c r="L757" s="6"/>
      <c r="M757" s="7" t="s">
        <v>43</v>
      </c>
      <c r="N757" s="7"/>
      <c r="O757" s="7"/>
      <c r="P757" s="6" t="s">
        <v>44</v>
      </c>
      <c r="Q757" s="6"/>
      <c r="R757" t="str">
        <f>HYPERLINK("https://docs.wto.org/imrd/directdoc.asp?DDFDocuments/t/G/SPS/NBDI14A2.docx", "https://docs.wto.org/imrd/directdoc.asp?DDFDocuments/t/G/SPS/NBDI14A2.docx")</f>
        <v>https://docs.wto.org/imrd/directdoc.asp?DDFDocuments/t/G/SPS/NBDI14A2.docx</v>
      </c>
      <c r="S757" t="str">
        <f>HYPERLINK("https://docs.wto.org/imrd/directdoc.asp?DDFDocuments/u/G/SPS/NBDI14A2.docx", "https://docs.wto.org/imrd/directdoc.asp?DDFDocuments/u/G/SPS/NBDI14A2.docx")</f>
        <v>https://docs.wto.org/imrd/directdoc.asp?DDFDocuments/u/G/SPS/NBDI14A2.docx</v>
      </c>
      <c r="T757" t="str">
        <f>HYPERLINK("https://docs.wto.org/imrd/directdoc.asp?DDFDocuments/v/G/SPS/NBDI14A2.docx", "https://docs.wto.org/imrd/directdoc.asp?DDFDocuments/v/G/SPS/NBDI14A2.docx")</f>
        <v>https://docs.wto.org/imrd/directdoc.asp?DDFDocuments/v/G/SPS/NBDI14A2.docx</v>
      </c>
      <c r="U757" t="s">
        <v>43</v>
      </c>
      <c r="V757" t="s">
        <v>43</v>
      </c>
      <c r="W757" t="s">
        <v>43</v>
      </c>
      <c r="X757" t="s">
        <v>43</v>
      </c>
      <c r="Y757" t="s">
        <v>43</v>
      </c>
      <c r="Z757" t="s">
        <v>43</v>
      </c>
      <c r="AA757" t="s">
        <v>43</v>
      </c>
      <c r="AB757" s="2" t="s">
        <v>43</v>
      </c>
      <c r="AC757" t="s">
        <v>43</v>
      </c>
      <c r="AD757" t="s">
        <v>43</v>
      </c>
      <c r="AE757" t="s">
        <v>43</v>
      </c>
      <c r="AF757" t="s">
        <v>43</v>
      </c>
      <c r="AG757" t="s">
        <v>43</v>
      </c>
      <c r="AH757" s="2" t="s">
        <v>43</v>
      </c>
    </row>
    <row r="758" spans="1:34" ht="60">
      <c r="A758" s="6" t="s">
        <v>108</v>
      </c>
      <c r="B758" s="7">
        <v>46059</v>
      </c>
      <c r="C758" s="9" t="str">
        <f>HYPERLINK("https://eping.wto.org/en/Search?viewData= G/SPS/N/BDI/13/Add.2, G/SPS/N/KEN/165/Add.2, G/SPS/N/RWA/6/Add.2, G/SPS/N/TZA/197/Add.2, G/SPS/N/UGA/207/Add.2"," G/SPS/N/BDI/13/Add.2, G/SPS/N/KEN/165/Add.2, G/SPS/N/RWA/6/Add.2, G/SPS/N/TZA/197/Add.2, G/SPS/N/UGA/207/Add.2")</f>
        <v xml:space="preserve"> G/SPS/N/BDI/13/Add.2, G/SPS/N/KEN/165/Add.2, G/SPS/N/RWA/6/Add.2, G/SPS/N/TZA/197/Add.2, G/SPS/N/UGA/207/Add.2</v>
      </c>
      <c r="D758" s="8" t="s">
        <v>3106</v>
      </c>
      <c r="E758" s="8" t="s">
        <v>3107</v>
      </c>
      <c r="F758" s="8" t="s">
        <v>3108</v>
      </c>
      <c r="G758" s="8" t="s">
        <v>2885</v>
      </c>
      <c r="H758" s="8" t="s">
        <v>2826</v>
      </c>
      <c r="I758" s="8" t="s">
        <v>58</v>
      </c>
      <c r="J758" s="8" t="s">
        <v>43</v>
      </c>
      <c r="K758" s="8" t="s">
        <v>2845</v>
      </c>
      <c r="L758" s="6"/>
      <c r="M758" s="7" t="s">
        <v>43</v>
      </c>
      <c r="N758" s="7"/>
      <c r="O758" s="7"/>
      <c r="P758" s="6" t="s">
        <v>44</v>
      </c>
      <c r="Q758" s="6"/>
      <c r="R758" t="str">
        <f>HYPERLINK("https://docs.wto.org/imrd/directdoc.asp?DDFDocuments/t/G/SPS/NBDI13A2.docx", "https://docs.wto.org/imrd/directdoc.asp?DDFDocuments/t/G/SPS/NBDI13A2.docx")</f>
        <v>https://docs.wto.org/imrd/directdoc.asp?DDFDocuments/t/G/SPS/NBDI13A2.docx</v>
      </c>
      <c r="S758" t="str">
        <f>HYPERLINK("https://docs.wto.org/imrd/directdoc.asp?DDFDocuments/u/G/SPS/NBDI13A2.docx", "https://docs.wto.org/imrd/directdoc.asp?DDFDocuments/u/G/SPS/NBDI13A2.docx")</f>
        <v>https://docs.wto.org/imrd/directdoc.asp?DDFDocuments/u/G/SPS/NBDI13A2.docx</v>
      </c>
      <c r="T758" t="str">
        <f>HYPERLINK("https://docs.wto.org/imrd/directdoc.asp?DDFDocuments/v/G/SPS/NBDI13A2.docx", "https://docs.wto.org/imrd/directdoc.asp?DDFDocuments/v/G/SPS/NBDI13A2.docx")</f>
        <v>https://docs.wto.org/imrd/directdoc.asp?DDFDocuments/v/G/SPS/NBDI13A2.docx</v>
      </c>
      <c r="U758" t="s">
        <v>43</v>
      </c>
      <c r="V758" t="s">
        <v>43</v>
      </c>
      <c r="W758" t="s">
        <v>43</v>
      </c>
      <c r="X758" t="s">
        <v>43</v>
      </c>
      <c r="Y758" t="s">
        <v>43</v>
      </c>
      <c r="Z758" t="s">
        <v>43</v>
      </c>
      <c r="AA758" t="s">
        <v>43</v>
      </c>
      <c r="AB758" s="2" t="s">
        <v>43</v>
      </c>
      <c r="AC758" t="s">
        <v>43</v>
      </c>
      <c r="AD758" t="s">
        <v>43</v>
      </c>
      <c r="AE758" t="s">
        <v>43</v>
      </c>
      <c r="AF758" t="s">
        <v>43</v>
      </c>
      <c r="AG758" t="s">
        <v>43</v>
      </c>
      <c r="AH758" s="2" t="s">
        <v>43</v>
      </c>
    </row>
    <row r="759" spans="1:34" ht="60">
      <c r="A759" s="6" t="s">
        <v>509</v>
      </c>
      <c r="B759" s="7">
        <v>46059</v>
      </c>
      <c r="C759" s="9" t="str">
        <f>HYPERLINK("https://eping.wto.org/en/Search?viewData= G/SPS/N/BDI/12/Add.2, G/SPS/N/KEN/164/Add.2, G/SPS/N/RWA/5/Add.2, G/SPS/N/TZA/196/Add.2, G/SPS/N/UGA/206/Add.2"," G/SPS/N/BDI/12/Add.2, G/SPS/N/KEN/164/Add.2, G/SPS/N/RWA/5/Add.2, G/SPS/N/TZA/196/Add.2, G/SPS/N/UGA/206/Add.2")</f>
        <v xml:space="preserve"> G/SPS/N/BDI/12/Add.2, G/SPS/N/KEN/164/Add.2, G/SPS/N/RWA/5/Add.2, G/SPS/N/TZA/196/Add.2, G/SPS/N/UGA/206/Add.2</v>
      </c>
      <c r="D759" s="8" t="s">
        <v>3133</v>
      </c>
      <c r="E759" s="8" t="s">
        <v>3134</v>
      </c>
      <c r="F759" s="8" t="s">
        <v>3135</v>
      </c>
      <c r="G759" s="8" t="s">
        <v>3112</v>
      </c>
      <c r="H759" s="8" t="s">
        <v>2826</v>
      </c>
      <c r="I759" s="8" t="s">
        <v>58</v>
      </c>
      <c r="J759" s="8" t="s">
        <v>43</v>
      </c>
      <c r="K759" s="8" t="s">
        <v>2845</v>
      </c>
      <c r="L759" s="6"/>
      <c r="M759" s="7" t="s">
        <v>43</v>
      </c>
      <c r="N759" s="7"/>
      <c r="O759" s="7"/>
      <c r="P759" s="6" t="s">
        <v>44</v>
      </c>
      <c r="Q759" s="6"/>
      <c r="R759" t="str">
        <f>HYPERLINK("https://docs.wto.org/imrd/directdoc.asp?DDFDocuments/t/G/SPS/NBDI12A2.docx", "https://docs.wto.org/imrd/directdoc.asp?DDFDocuments/t/G/SPS/NBDI12A2.docx")</f>
        <v>https://docs.wto.org/imrd/directdoc.asp?DDFDocuments/t/G/SPS/NBDI12A2.docx</v>
      </c>
      <c r="S759" t="str">
        <f>HYPERLINK("https://docs.wto.org/imrd/directdoc.asp?DDFDocuments/u/G/SPS/NBDI12A2.docx", "https://docs.wto.org/imrd/directdoc.asp?DDFDocuments/u/G/SPS/NBDI12A2.docx")</f>
        <v>https://docs.wto.org/imrd/directdoc.asp?DDFDocuments/u/G/SPS/NBDI12A2.docx</v>
      </c>
      <c r="T759" t="str">
        <f>HYPERLINK("https://docs.wto.org/imrd/directdoc.asp?DDFDocuments/v/G/SPS/NBDI12A2.docx", "https://docs.wto.org/imrd/directdoc.asp?DDFDocuments/v/G/SPS/NBDI12A2.docx")</f>
        <v>https://docs.wto.org/imrd/directdoc.asp?DDFDocuments/v/G/SPS/NBDI12A2.docx</v>
      </c>
      <c r="U759" t="s">
        <v>43</v>
      </c>
      <c r="V759" t="s">
        <v>43</v>
      </c>
      <c r="W759" t="s">
        <v>43</v>
      </c>
      <c r="X759" t="s">
        <v>43</v>
      </c>
      <c r="Y759" t="s">
        <v>43</v>
      </c>
      <c r="Z759" t="s">
        <v>43</v>
      </c>
      <c r="AA759" t="s">
        <v>43</v>
      </c>
      <c r="AB759" s="2" t="s">
        <v>43</v>
      </c>
      <c r="AC759" t="s">
        <v>43</v>
      </c>
      <c r="AD759" t="s">
        <v>43</v>
      </c>
      <c r="AE759" t="s">
        <v>43</v>
      </c>
      <c r="AF759" t="s">
        <v>43</v>
      </c>
      <c r="AG759" t="s">
        <v>43</v>
      </c>
      <c r="AH759" s="2" t="s">
        <v>43</v>
      </c>
    </row>
    <row r="760" spans="1:34" ht="60">
      <c r="A760" s="6" t="s">
        <v>124</v>
      </c>
      <c r="B760" s="7">
        <v>46059</v>
      </c>
      <c r="C760" s="9" t="str">
        <f>HYPERLINK("https://eping.wto.org/en/Search?viewData= G/SPS/N/BDI/9/Add.2, G/SPS/N/KEN/161/Add.2, G/SPS/N/RWA/2/Add.2, G/SPS/N/TZA/193/Add.2, G/SPS/N/UGA/203/Add.2"," G/SPS/N/BDI/9/Add.2, G/SPS/N/KEN/161/Add.2, G/SPS/N/RWA/2/Add.2, G/SPS/N/TZA/193/Add.2, G/SPS/N/UGA/203/Add.2")</f>
        <v xml:space="preserve"> G/SPS/N/BDI/9/Add.2, G/SPS/N/KEN/161/Add.2, G/SPS/N/RWA/2/Add.2, G/SPS/N/TZA/193/Add.2, G/SPS/N/UGA/203/Add.2</v>
      </c>
      <c r="D760" s="8" t="s">
        <v>3122</v>
      </c>
      <c r="E760" s="8" t="s">
        <v>3123</v>
      </c>
      <c r="F760" s="8" t="s">
        <v>3124</v>
      </c>
      <c r="G760" s="8" t="s">
        <v>3125</v>
      </c>
      <c r="H760" s="8" t="s">
        <v>2826</v>
      </c>
      <c r="I760" s="8" t="s">
        <v>58</v>
      </c>
      <c r="J760" s="8" t="s">
        <v>43</v>
      </c>
      <c r="K760" s="8" t="s">
        <v>2845</v>
      </c>
      <c r="L760" s="6"/>
      <c r="M760" s="7" t="s">
        <v>43</v>
      </c>
      <c r="N760" s="7"/>
      <c r="O760" s="7"/>
      <c r="P760" s="6" t="s">
        <v>44</v>
      </c>
      <c r="Q760" s="6"/>
      <c r="R760" t="str">
        <f>HYPERLINK("https://docs.wto.org/imrd/directdoc.asp?DDFDocuments/t/G/SPS/NBDI9A2.docx", "https://docs.wto.org/imrd/directdoc.asp?DDFDocuments/t/G/SPS/NBDI9A2.docx")</f>
        <v>https://docs.wto.org/imrd/directdoc.asp?DDFDocuments/t/G/SPS/NBDI9A2.docx</v>
      </c>
      <c r="S760" t="str">
        <f>HYPERLINK("https://docs.wto.org/imrd/directdoc.asp?DDFDocuments/u/G/SPS/NBDI9A2.docx", "https://docs.wto.org/imrd/directdoc.asp?DDFDocuments/u/G/SPS/NBDI9A2.docx")</f>
        <v>https://docs.wto.org/imrd/directdoc.asp?DDFDocuments/u/G/SPS/NBDI9A2.docx</v>
      </c>
      <c r="T760" t="str">
        <f>HYPERLINK("https://docs.wto.org/imrd/directdoc.asp?DDFDocuments/v/G/SPS/NBDI9A2.docx", "https://docs.wto.org/imrd/directdoc.asp?DDFDocuments/v/G/SPS/NBDI9A2.docx")</f>
        <v>https://docs.wto.org/imrd/directdoc.asp?DDFDocuments/v/G/SPS/NBDI9A2.docx</v>
      </c>
      <c r="U760" t="s">
        <v>43</v>
      </c>
      <c r="V760" t="s">
        <v>43</v>
      </c>
      <c r="W760" t="s">
        <v>43</v>
      </c>
      <c r="X760" t="s">
        <v>43</v>
      </c>
      <c r="Y760" t="s">
        <v>43</v>
      </c>
      <c r="Z760" t="s">
        <v>43</v>
      </c>
      <c r="AA760" t="s">
        <v>43</v>
      </c>
      <c r="AB760" s="2" t="s">
        <v>43</v>
      </c>
      <c r="AC760" t="s">
        <v>43</v>
      </c>
      <c r="AD760" t="s">
        <v>43</v>
      </c>
      <c r="AE760" t="s">
        <v>43</v>
      </c>
      <c r="AF760" t="s">
        <v>43</v>
      </c>
      <c r="AG760" t="s">
        <v>43</v>
      </c>
      <c r="AH760" s="2" t="s">
        <v>43</v>
      </c>
    </row>
    <row r="761" spans="1:34" ht="60">
      <c r="A761" s="6" t="s">
        <v>108</v>
      </c>
      <c r="B761" s="7">
        <v>46059</v>
      </c>
      <c r="C761" s="9" t="str">
        <f>HYPERLINK("https://eping.wto.org/en/Search?viewData= G/SPS/N/BDI/9/Add.2, G/SPS/N/KEN/161/Add.2, G/SPS/N/RWA/2/Add.2, G/SPS/N/TZA/193/Add.2, G/SPS/N/UGA/203/Add.2"," G/SPS/N/BDI/9/Add.2, G/SPS/N/KEN/161/Add.2, G/SPS/N/RWA/2/Add.2, G/SPS/N/TZA/193/Add.2, G/SPS/N/UGA/203/Add.2")</f>
        <v xml:space="preserve"> G/SPS/N/BDI/9/Add.2, G/SPS/N/KEN/161/Add.2, G/SPS/N/RWA/2/Add.2, G/SPS/N/TZA/193/Add.2, G/SPS/N/UGA/203/Add.2</v>
      </c>
      <c r="D761" s="8" t="s">
        <v>3122</v>
      </c>
      <c r="E761" s="8" t="s">
        <v>3123</v>
      </c>
      <c r="F761" s="8" t="s">
        <v>3124</v>
      </c>
      <c r="G761" s="8" t="s">
        <v>3125</v>
      </c>
      <c r="H761" s="8" t="s">
        <v>2826</v>
      </c>
      <c r="I761" s="8" t="s">
        <v>58</v>
      </c>
      <c r="J761" s="8" t="s">
        <v>43</v>
      </c>
      <c r="K761" s="8" t="s">
        <v>2845</v>
      </c>
      <c r="L761" s="6"/>
      <c r="M761" s="7" t="s">
        <v>43</v>
      </c>
      <c r="N761" s="7"/>
      <c r="O761" s="7"/>
      <c r="P761" s="6" t="s">
        <v>44</v>
      </c>
      <c r="Q761" s="6"/>
      <c r="R761" t="str">
        <f>HYPERLINK("https://docs.wto.org/imrd/directdoc.asp?DDFDocuments/t/G/SPS/NBDI9A2.docx", "https://docs.wto.org/imrd/directdoc.asp?DDFDocuments/t/G/SPS/NBDI9A2.docx")</f>
        <v>https://docs.wto.org/imrd/directdoc.asp?DDFDocuments/t/G/SPS/NBDI9A2.docx</v>
      </c>
      <c r="S761" t="str">
        <f>HYPERLINK("https://docs.wto.org/imrd/directdoc.asp?DDFDocuments/u/G/SPS/NBDI9A2.docx", "https://docs.wto.org/imrd/directdoc.asp?DDFDocuments/u/G/SPS/NBDI9A2.docx")</f>
        <v>https://docs.wto.org/imrd/directdoc.asp?DDFDocuments/u/G/SPS/NBDI9A2.docx</v>
      </c>
      <c r="T761" t="str">
        <f>HYPERLINK("https://docs.wto.org/imrd/directdoc.asp?DDFDocuments/v/G/SPS/NBDI9A2.docx", "https://docs.wto.org/imrd/directdoc.asp?DDFDocuments/v/G/SPS/NBDI9A2.docx")</f>
        <v>https://docs.wto.org/imrd/directdoc.asp?DDFDocuments/v/G/SPS/NBDI9A2.docx</v>
      </c>
      <c r="U761" t="s">
        <v>43</v>
      </c>
      <c r="V761" t="s">
        <v>43</v>
      </c>
      <c r="W761" t="s">
        <v>43</v>
      </c>
      <c r="X761" t="s">
        <v>43</v>
      </c>
      <c r="Y761" t="s">
        <v>43</v>
      </c>
      <c r="Z761" t="s">
        <v>43</v>
      </c>
      <c r="AA761" t="s">
        <v>43</v>
      </c>
      <c r="AB761" s="2" t="s">
        <v>43</v>
      </c>
      <c r="AC761" t="s">
        <v>43</v>
      </c>
      <c r="AD761" t="s">
        <v>43</v>
      </c>
      <c r="AE761" t="s">
        <v>43</v>
      </c>
      <c r="AF761" t="s">
        <v>43</v>
      </c>
      <c r="AG761" t="s">
        <v>43</v>
      </c>
      <c r="AH761" s="2" t="s">
        <v>43</v>
      </c>
    </row>
    <row r="762" spans="1:34" ht="60">
      <c r="A762" s="6" t="s">
        <v>509</v>
      </c>
      <c r="B762" s="7">
        <v>46059</v>
      </c>
      <c r="C762" s="9" t="str">
        <f>HYPERLINK("https://eping.wto.org/en/Search?viewData= G/TBT/N/BDI/241/Add.2, G/TBT/N/KEN/1260/Add.2, G/TBT/N/RWA/671/Add.2, G/TBT/N/TZA/781/Add.2, G/TBT/N/UGA/1594/Add.2"," G/TBT/N/BDI/241/Add.2, G/TBT/N/KEN/1260/Add.2, G/TBT/N/RWA/671/Add.2, G/TBT/N/TZA/781/Add.2, G/TBT/N/UGA/1594/Add.2")</f>
        <v xml:space="preserve"> G/TBT/N/BDI/241/Add.2, G/TBT/N/KEN/1260/Add.2, G/TBT/N/RWA/671/Add.2, G/TBT/N/TZA/781/Add.2, G/TBT/N/UGA/1594/Add.2</v>
      </c>
      <c r="D762" s="8" t="s">
        <v>3126</v>
      </c>
      <c r="E762" s="8" t="s">
        <v>3127</v>
      </c>
      <c r="F762" s="8" t="s">
        <v>3077</v>
      </c>
      <c r="G762" s="8" t="s">
        <v>3078</v>
      </c>
      <c r="H762" s="8" t="s">
        <v>1959</v>
      </c>
      <c r="I762" s="8" t="s">
        <v>3128</v>
      </c>
      <c r="J762" s="8"/>
      <c r="K762" s="8" t="s">
        <v>3080</v>
      </c>
      <c r="L762" s="6"/>
      <c r="M762" s="7" t="s">
        <v>43</v>
      </c>
      <c r="N762" s="7"/>
      <c r="O762" s="7"/>
      <c r="P762" s="6" t="s">
        <v>44</v>
      </c>
      <c r="Q762" s="6"/>
      <c r="R762" t="str">
        <f>HYPERLINK("https://docs.wto.org/imrd/directdoc.asp?DDFDocuments/t/G/TBTN22/BDI241A2.docx", "https://docs.wto.org/imrd/directdoc.asp?DDFDocuments/t/G/TBTN22/BDI241A2.docx")</f>
        <v>https://docs.wto.org/imrd/directdoc.asp?DDFDocuments/t/G/TBTN22/BDI241A2.docx</v>
      </c>
      <c r="S762" t="str">
        <f>HYPERLINK("https://docs.wto.org/imrd/directdoc.asp?DDFDocuments/u/G/TBTN22/BDI241A2.docx", "https://docs.wto.org/imrd/directdoc.asp?DDFDocuments/u/G/TBTN22/BDI241A2.docx")</f>
        <v>https://docs.wto.org/imrd/directdoc.asp?DDFDocuments/u/G/TBTN22/BDI241A2.docx</v>
      </c>
      <c r="T762" t="str">
        <f>HYPERLINK("https://docs.wto.org/imrd/directdoc.asp?DDFDocuments/v/G/TBTN22/BDI241A2.docx", "https://docs.wto.org/imrd/directdoc.asp?DDFDocuments/v/G/TBTN22/BDI241A2.docx")</f>
        <v>https://docs.wto.org/imrd/directdoc.asp?DDFDocuments/v/G/TBTN22/BDI241A2.docx</v>
      </c>
      <c r="U762" t="s">
        <v>64</v>
      </c>
      <c r="V762" t="s">
        <v>46</v>
      </c>
      <c r="W762" t="s">
        <v>46</v>
      </c>
      <c r="X762" t="s">
        <v>46</v>
      </c>
      <c r="Y762" t="s">
        <v>46</v>
      </c>
      <c r="Z762" t="s">
        <v>46</v>
      </c>
      <c r="AA762" t="s">
        <v>46</v>
      </c>
      <c r="AB762" s="2" t="s">
        <v>43</v>
      </c>
      <c r="AC762" t="s">
        <v>43</v>
      </c>
      <c r="AD762" t="s">
        <v>43</v>
      </c>
      <c r="AE762" t="s">
        <v>43</v>
      </c>
      <c r="AF762" t="s">
        <v>43</v>
      </c>
      <c r="AG762" t="s">
        <v>43</v>
      </c>
      <c r="AH762" s="2" t="s">
        <v>43</v>
      </c>
    </row>
    <row r="763" spans="1:34" ht="90">
      <c r="A763" s="6" t="s">
        <v>124</v>
      </c>
      <c r="B763" s="7">
        <v>46059</v>
      </c>
      <c r="C763" s="9" t="str">
        <f>HYPERLINK("https://eping.wto.org/en/Search?viewData= G/TBT/N/BDI/220/Add.2, G/TBT/N/KEN/1229/Add.2, G/TBT/N/RWA/646/Add.2, G/TBT/N/TZA/721/Add.2, G/TBT/N/UGA/1553/Add.2"," G/TBT/N/BDI/220/Add.2, G/TBT/N/KEN/1229/Add.2, G/TBT/N/RWA/646/Add.2, G/TBT/N/TZA/721/Add.2, G/TBT/N/UGA/1553/Add.2")</f>
        <v xml:space="preserve"> G/TBT/N/BDI/220/Add.2, G/TBT/N/KEN/1229/Add.2, G/TBT/N/RWA/646/Add.2, G/TBT/N/TZA/721/Add.2, G/TBT/N/UGA/1553/Add.2</v>
      </c>
      <c r="D763" s="8" t="s">
        <v>3114</v>
      </c>
      <c r="E763" s="8" t="s">
        <v>3115</v>
      </c>
      <c r="F763" s="8" t="s">
        <v>2819</v>
      </c>
      <c r="G763" s="8" t="s">
        <v>43</v>
      </c>
      <c r="H763" s="8" t="s">
        <v>2821</v>
      </c>
      <c r="I763" s="8" t="s">
        <v>2846</v>
      </c>
      <c r="J763" s="8" t="s">
        <v>43</v>
      </c>
      <c r="K763" s="8" t="s">
        <v>1029</v>
      </c>
      <c r="L763" s="6"/>
      <c r="M763" s="7" t="s">
        <v>43</v>
      </c>
      <c r="N763" s="7"/>
      <c r="O763" s="7"/>
      <c r="P763" s="6" t="s">
        <v>44</v>
      </c>
      <c r="Q763" s="6"/>
      <c r="R763" t="str">
        <f>HYPERLINK("https://docs.wto.org/imrd/directdoc.asp?DDFDocuments/t/G/TBTN22/BDI220A2.docx", "https://docs.wto.org/imrd/directdoc.asp?DDFDocuments/t/G/TBTN22/BDI220A2.docx")</f>
        <v>https://docs.wto.org/imrd/directdoc.asp?DDFDocuments/t/G/TBTN22/BDI220A2.docx</v>
      </c>
      <c r="S763" t="str">
        <f>HYPERLINK("https://docs.wto.org/imrd/directdoc.asp?DDFDocuments/u/G/TBTN22/BDI220A2.docx", "https://docs.wto.org/imrd/directdoc.asp?DDFDocuments/u/G/TBTN22/BDI220A2.docx")</f>
        <v>https://docs.wto.org/imrd/directdoc.asp?DDFDocuments/u/G/TBTN22/BDI220A2.docx</v>
      </c>
      <c r="T763" t="str">
        <f>HYPERLINK("https://docs.wto.org/imrd/directdoc.asp?DDFDocuments/v/G/TBTN22/BDI220A2.docx", "https://docs.wto.org/imrd/directdoc.asp?DDFDocuments/v/G/TBTN22/BDI220A2.docx")</f>
        <v>https://docs.wto.org/imrd/directdoc.asp?DDFDocuments/v/G/TBTN22/BDI220A2.docx</v>
      </c>
      <c r="U763" t="s">
        <v>64</v>
      </c>
      <c r="V763" t="s">
        <v>46</v>
      </c>
      <c r="W763" t="s">
        <v>46</v>
      </c>
      <c r="X763" t="s">
        <v>46</v>
      </c>
      <c r="Y763" t="s">
        <v>46</v>
      </c>
      <c r="Z763" t="s">
        <v>46</v>
      </c>
      <c r="AA763" t="s">
        <v>46</v>
      </c>
      <c r="AB763" s="2" t="s">
        <v>43</v>
      </c>
      <c r="AC763" t="s">
        <v>43</v>
      </c>
      <c r="AD763" t="s">
        <v>43</v>
      </c>
      <c r="AE763" t="s">
        <v>43</v>
      </c>
      <c r="AF763" t="s">
        <v>43</v>
      </c>
      <c r="AG763" t="s">
        <v>43</v>
      </c>
      <c r="AH763" s="2" t="s">
        <v>43</v>
      </c>
    </row>
    <row r="764" spans="1:34" ht="90">
      <c r="A764" s="6" t="s">
        <v>124</v>
      </c>
      <c r="B764" s="7">
        <v>46059</v>
      </c>
      <c r="C764" s="9" t="str">
        <f>HYPERLINK("https://eping.wto.org/en/Search?viewData= G/TBT/N/BDI/222/Add.3, G/TBT/N/KEN/1231/Add.3, G/TBT/N/RWA/648/Add.3, G/TBT/N/TZA/723/Add.3, G/TBT/N/UGA/1555/Add.3"," G/TBT/N/BDI/222/Add.3, G/TBT/N/KEN/1231/Add.3, G/TBT/N/RWA/648/Add.3, G/TBT/N/TZA/723/Add.3, G/TBT/N/UGA/1555/Add.3")</f>
        <v xml:space="preserve"> G/TBT/N/BDI/222/Add.3, G/TBT/N/KEN/1231/Add.3, G/TBT/N/RWA/648/Add.3, G/TBT/N/TZA/723/Add.3, G/TBT/N/UGA/1555/Add.3</v>
      </c>
      <c r="D764" s="8" t="s">
        <v>3094</v>
      </c>
      <c r="E764" s="8" t="s">
        <v>3095</v>
      </c>
      <c r="F764" s="8" t="s">
        <v>2819</v>
      </c>
      <c r="G764" s="8" t="s">
        <v>43</v>
      </c>
      <c r="H764" s="8" t="s">
        <v>2821</v>
      </c>
      <c r="I764" s="8" t="s">
        <v>3096</v>
      </c>
      <c r="J764" s="8" t="s">
        <v>43</v>
      </c>
      <c r="K764" s="8" t="s">
        <v>1029</v>
      </c>
      <c r="L764" s="6"/>
      <c r="M764" s="7" t="s">
        <v>43</v>
      </c>
      <c r="N764" s="7"/>
      <c r="O764" s="7"/>
      <c r="P764" s="6" t="s">
        <v>44</v>
      </c>
      <c r="Q764" s="6"/>
      <c r="R764" t="str">
        <f>HYPERLINK("https://docs.wto.org/imrd/directdoc.asp?DDFDocuments/t/G/TBTN22/BDI222A3.docx", "https://docs.wto.org/imrd/directdoc.asp?DDFDocuments/t/G/TBTN22/BDI222A3.docx")</f>
        <v>https://docs.wto.org/imrd/directdoc.asp?DDFDocuments/t/G/TBTN22/BDI222A3.docx</v>
      </c>
      <c r="S764" t="str">
        <f>HYPERLINK("https://docs.wto.org/imrd/directdoc.asp?DDFDocuments/u/G/TBTN22/BDI222A3.docx", "https://docs.wto.org/imrd/directdoc.asp?DDFDocuments/u/G/TBTN22/BDI222A3.docx")</f>
        <v>https://docs.wto.org/imrd/directdoc.asp?DDFDocuments/u/G/TBTN22/BDI222A3.docx</v>
      </c>
      <c r="T764" t="str">
        <f>HYPERLINK("https://docs.wto.org/imrd/directdoc.asp?DDFDocuments/v/G/TBTN22/BDI222A3.docx", "https://docs.wto.org/imrd/directdoc.asp?DDFDocuments/v/G/TBTN22/BDI222A3.docx")</f>
        <v>https://docs.wto.org/imrd/directdoc.asp?DDFDocuments/v/G/TBTN22/BDI222A3.docx</v>
      </c>
      <c r="U764" t="s">
        <v>64</v>
      </c>
      <c r="V764" t="s">
        <v>46</v>
      </c>
      <c r="W764" t="s">
        <v>46</v>
      </c>
      <c r="X764" t="s">
        <v>46</v>
      </c>
      <c r="Y764" t="s">
        <v>46</v>
      </c>
      <c r="Z764" t="s">
        <v>46</v>
      </c>
      <c r="AA764" t="s">
        <v>46</v>
      </c>
      <c r="AB764" s="2" t="s">
        <v>43</v>
      </c>
      <c r="AC764" t="s">
        <v>43</v>
      </c>
      <c r="AD764" t="s">
        <v>43</v>
      </c>
      <c r="AE764" t="s">
        <v>43</v>
      </c>
      <c r="AF764" t="s">
        <v>43</v>
      </c>
      <c r="AG764" t="s">
        <v>43</v>
      </c>
      <c r="AH764" s="2" t="s">
        <v>43</v>
      </c>
    </row>
    <row r="765" spans="1:34" ht="165">
      <c r="A765" s="6" t="s">
        <v>100</v>
      </c>
      <c r="B765" s="7">
        <v>46059</v>
      </c>
      <c r="C765" s="9" t="str">
        <f>HYPERLINK("https://eping.wto.org/en/Search?viewData= G/SPS/N/THA/760/Add.1"," G/SPS/N/THA/760/Add.1")</f>
        <v xml:space="preserve"> G/SPS/N/THA/760/Add.1</v>
      </c>
      <c r="D765" s="8" t="s">
        <v>3194</v>
      </c>
      <c r="E765" s="8" t="s">
        <v>3195</v>
      </c>
      <c r="F765" s="8" t="s">
        <v>1908</v>
      </c>
      <c r="G765" s="8" t="s">
        <v>3048</v>
      </c>
      <c r="H765" s="8" t="s">
        <v>43</v>
      </c>
      <c r="I765" s="8" t="s">
        <v>104</v>
      </c>
      <c r="J765" s="8" t="s">
        <v>43</v>
      </c>
      <c r="K765" s="8" t="s">
        <v>3196</v>
      </c>
      <c r="L765" s="6"/>
      <c r="M765" s="7" t="s">
        <v>43</v>
      </c>
      <c r="N765" s="7"/>
      <c r="O765" s="7"/>
      <c r="P765" s="6" t="s">
        <v>72</v>
      </c>
      <c r="Q765" s="6"/>
      <c r="R765" t="str">
        <f>HYPERLINK("https://docs.wto.org/imrd/directdoc.asp?DDFDocuments/t/G/SPS/NTHA760A1.docx", "https://docs.wto.org/imrd/directdoc.asp?DDFDocuments/t/G/SPS/NTHA760A1.docx")</f>
        <v>https://docs.wto.org/imrd/directdoc.asp?DDFDocuments/t/G/SPS/NTHA760A1.docx</v>
      </c>
      <c r="S765" t="str">
        <f>HYPERLINK("https://docs.wto.org/imrd/directdoc.asp?DDFDocuments/u/G/SPS/NTHA760A1.docx", "https://docs.wto.org/imrd/directdoc.asp?DDFDocuments/u/G/SPS/NTHA760A1.docx")</f>
        <v>https://docs.wto.org/imrd/directdoc.asp?DDFDocuments/u/G/SPS/NTHA760A1.docx</v>
      </c>
      <c r="T765" t="str">
        <f>HYPERLINK("https://docs.wto.org/imrd/directdoc.asp?DDFDocuments/v/G/SPS/NTHA760A1.docx", "https://docs.wto.org/imrd/directdoc.asp?DDFDocuments/v/G/SPS/NTHA760A1.docx")</f>
        <v>https://docs.wto.org/imrd/directdoc.asp?DDFDocuments/v/G/SPS/NTHA760A1.docx</v>
      </c>
      <c r="U765" t="s">
        <v>43</v>
      </c>
      <c r="V765" t="s">
        <v>43</v>
      </c>
      <c r="W765" t="s">
        <v>43</v>
      </c>
      <c r="X765" t="s">
        <v>43</v>
      </c>
      <c r="Y765" t="s">
        <v>43</v>
      </c>
      <c r="Z765" t="s">
        <v>43</v>
      </c>
      <c r="AA765" t="s">
        <v>43</v>
      </c>
      <c r="AB765" s="2" t="s">
        <v>43</v>
      </c>
      <c r="AC765" t="s">
        <v>43</v>
      </c>
      <c r="AD765" t="s">
        <v>43</v>
      </c>
      <c r="AE765" t="s">
        <v>43</v>
      </c>
      <c r="AF765" t="s">
        <v>43</v>
      </c>
      <c r="AG765" t="s">
        <v>43</v>
      </c>
      <c r="AH765" s="2" t="s">
        <v>43</v>
      </c>
    </row>
    <row r="766" spans="1:34" ht="105">
      <c r="A766" s="6" t="s">
        <v>249</v>
      </c>
      <c r="B766" s="7">
        <v>46059</v>
      </c>
      <c r="C766" s="9" t="str">
        <f>HYPERLINK("https://eping.wto.org/en/Search?viewData= G/SPS/N/COL/413"," G/SPS/N/COL/413")</f>
        <v xml:space="preserve"> G/SPS/N/COL/413</v>
      </c>
      <c r="D766" s="8" t="s">
        <v>3197</v>
      </c>
      <c r="E766" s="8" t="s">
        <v>3198</v>
      </c>
      <c r="F766" s="8" t="s">
        <v>2438</v>
      </c>
      <c r="G766" s="8" t="s">
        <v>43</v>
      </c>
      <c r="H766" s="8" t="s">
        <v>43</v>
      </c>
      <c r="I766" s="8" t="s">
        <v>104</v>
      </c>
      <c r="J766" s="8" t="s">
        <v>43</v>
      </c>
      <c r="K766" s="8" t="s">
        <v>3199</v>
      </c>
      <c r="L766" s="6" t="s">
        <v>196</v>
      </c>
      <c r="M766" s="7" t="s">
        <v>43</v>
      </c>
      <c r="N766" s="7"/>
      <c r="O766" s="7" t="s">
        <v>3200</v>
      </c>
      <c r="P766" s="6" t="s">
        <v>107</v>
      </c>
      <c r="Q766" s="8" t="s">
        <v>3201</v>
      </c>
      <c r="R766" t="str">
        <f>HYPERLINK("https://docs.wto.org/imrd/directdoc.asp?DDFDocuments/t/G/SPS/NCOL413.docx", "https://docs.wto.org/imrd/directdoc.asp?DDFDocuments/t/G/SPS/NCOL413.docx")</f>
        <v>https://docs.wto.org/imrd/directdoc.asp?DDFDocuments/t/G/SPS/NCOL413.docx</v>
      </c>
      <c r="S766" t="str">
        <f>HYPERLINK("https://docs.wto.org/imrd/directdoc.asp?DDFDocuments/u/G/SPS/NCOL413.docx", "https://docs.wto.org/imrd/directdoc.asp?DDFDocuments/u/G/SPS/NCOL413.docx")</f>
        <v>https://docs.wto.org/imrd/directdoc.asp?DDFDocuments/u/G/SPS/NCOL413.docx</v>
      </c>
      <c r="T766" t="str">
        <f>HYPERLINK("https://docs.wto.org/imrd/directdoc.asp?DDFDocuments/v/G/SPS/NCOL413.docx", "https://docs.wto.org/imrd/directdoc.asp?DDFDocuments/v/G/SPS/NCOL413.docx")</f>
        <v>https://docs.wto.org/imrd/directdoc.asp?DDFDocuments/v/G/SPS/NCOL413.docx</v>
      </c>
      <c r="U766" t="s">
        <v>43</v>
      </c>
      <c r="V766" t="s">
        <v>43</v>
      </c>
      <c r="W766" t="s">
        <v>43</v>
      </c>
      <c r="X766" t="s">
        <v>43</v>
      </c>
      <c r="Y766" t="s">
        <v>43</v>
      </c>
      <c r="Z766" t="s">
        <v>43</v>
      </c>
      <c r="AA766" t="s">
        <v>43</v>
      </c>
      <c r="AB766" s="2" t="s">
        <v>43</v>
      </c>
      <c r="AC766" t="s">
        <v>46</v>
      </c>
      <c r="AD766" t="s">
        <v>64</v>
      </c>
      <c r="AE766" t="s">
        <v>46</v>
      </c>
      <c r="AF766" t="s">
        <v>46</v>
      </c>
      <c r="AG766" t="s">
        <v>64</v>
      </c>
      <c r="AH766" s="2" t="s">
        <v>43</v>
      </c>
    </row>
    <row r="767" spans="1:34" ht="150">
      <c r="A767" s="6" t="s">
        <v>356</v>
      </c>
      <c r="B767" s="7">
        <v>46058</v>
      </c>
      <c r="C767" s="9" t="str">
        <f>HYPERLINK("https://eping.wto.org/en/Search?viewData= G/SPS/N/EU/915"," G/SPS/N/EU/915")</f>
        <v xml:space="preserve"> G/SPS/N/EU/915</v>
      </c>
      <c r="D767" s="8" t="s">
        <v>3202</v>
      </c>
      <c r="E767" s="8" t="s">
        <v>3203</v>
      </c>
      <c r="F767" s="8" t="s">
        <v>359</v>
      </c>
      <c r="G767" s="8" t="s">
        <v>156</v>
      </c>
      <c r="H767" s="8" t="s">
        <v>43</v>
      </c>
      <c r="I767" s="8" t="s">
        <v>361</v>
      </c>
      <c r="J767" s="8" t="s">
        <v>43</v>
      </c>
      <c r="K767" s="8" t="s">
        <v>3204</v>
      </c>
      <c r="L767" s="6"/>
      <c r="M767" s="7" t="s">
        <v>43</v>
      </c>
      <c r="N767" s="7">
        <v>46045</v>
      </c>
      <c r="O767" s="7" t="s">
        <v>1184</v>
      </c>
      <c r="P767" s="6" t="s">
        <v>62</v>
      </c>
      <c r="Q767" s="8" t="s">
        <v>3205</v>
      </c>
      <c r="R767" t="str">
        <f>HYPERLINK("https://docs.wto.org/imrd/directdoc.asp?DDFDocuments/t/G/SPS/NEU915.docx", "https://docs.wto.org/imrd/directdoc.asp?DDFDocuments/t/G/SPS/NEU915.docx")</f>
        <v>https://docs.wto.org/imrd/directdoc.asp?DDFDocuments/t/G/SPS/NEU915.docx</v>
      </c>
      <c r="S767" t="str">
        <f>HYPERLINK("https://docs.wto.org/imrd/directdoc.asp?DDFDocuments/u/G/SPS/NEU915.docx", "https://docs.wto.org/imrd/directdoc.asp?DDFDocuments/u/G/SPS/NEU915.docx")</f>
        <v>https://docs.wto.org/imrd/directdoc.asp?DDFDocuments/u/G/SPS/NEU915.docx</v>
      </c>
      <c r="T767" t="str">
        <f>HYPERLINK("https://docs.wto.org/imrd/directdoc.asp?DDFDocuments/v/G/SPS/NEU915.docx", "https://docs.wto.org/imrd/directdoc.asp?DDFDocuments/v/G/SPS/NEU915.docx")</f>
        <v>https://docs.wto.org/imrd/directdoc.asp?DDFDocuments/v/G/SPS/NEU915.docx</v>
      </c>
      <c r="U767" t="s">
        <v>43</v>
      </c>
      <c r="V767" t="s">
        <v>43</v>
      </c>
      <c r="W767" t="s">
        <v>43</v>
      </c>
      <c r="X767" t="s">
        <v>43</v>
      </c>
      <c r="Y767" t="s">
        <v>43</v>
      </c>
      <c r="Z767" t="s">
        <v>43</v>
      </c>
      <c r="AA767" t="s">
        <v>43</v>
      </c>
      <c r="AB767" s="2" t="s">
        <v>43</v>
      </c>
      <c r="AC767" t="s">
        <v>64</v>
      </c>
      <c r="AD767" t="s">
        <v>46</v>
      </c>
      <c r="AE767" t="s">
        <v>46</v>
      </c>
      <c r="AF767" t="s">
        <v>46</v>
      </c>
      <c r="AG767" t="s">
        <v>64</v>
      </c>
      <c r="AH767" s="2" t="s">
        <v>43</v>
      </c>
    </row>
    <row r="768" spans="1:34" ht="165">
      <c r="A768" s="6" t="s">
        <v>82</v>
      </c>
      <c r="B768" s="7">
        <v>46058</v>
      </c>
      <c r="C768" s="9" t="str">
        <f>HYPERLINK("https://eping.wto.org/en/Search?viewData= G/SPS/N/JPN/1386"," G/SPS/N/JPN/1386")</f>
        <v xml:space="preserve"> G/SPS/N/JPN/1386</v>
      </c>
      <c r="D768" s="8" t="s">
        <v>3206</v>
      </c>
      <c r="E768" s="8" t="s">
        <v>3207</v>
      </c>
      <c r="F768" s="8" t="s">
        <v>3208</v>
      </c>
      <c r="G768" s="8" t="s">
        <v>43</v>
      </c>
      <c r="H768" s="8" t="s">
        <v>43</v>
      </c>
      <c r="I768" s="8" t="s">
        <v>254</v>
      </c>
      <c r="J768" s="8" t="s">
        <v>43</v>
      </c>
      <c r="K768" s="8" t="s">
        <v>302</v>
      </c>
      <c r="L768" s="6" t="s">
        <v>43</v>
      </c>
      <c r="M768" s="7" t="s">
        <v>43</v>
      </c>
      <c r="N768" s="7"/>
      <c r="O768" s="7">
        <v>46065</v>
      </c>
      <c r="P768" s="6" t="s">
        <v>107</v>
      </c>
      <c r="Q768" s="6"/>
      <c r="R768" t="str">
        <f>HYPERLINK("https://docs.wto.org/imrd/directdoc.asp?DDFDocuments/t/G/SPS/NJPN1386.docx", "https://docs.wto.org/imrd/directdoc.asp?DDFDocuments/t/G/SPS/NJPN1386.docx")</f>
        <v>https://docs.wto.org/imrd/directdoc.asp?DDFDocuments/t/G/SPS/NJPN1386.docx</v>
      </c>
      <c r="S768" t="str">
        <f>HYPERLINK("https://docs.wto.org/imrd/directdoc.asp?DDFDocuments/u/G/SPS/NJPN1386.docx", "https://docs.wto.org/imrd/directdoc.asp?DDFDocuments/u/G/SPS/NJPN1386.docx")</f>
        <v>https://docs.wto.org/imrd/directdoc.asp?DDFDocuments/u/G/SPS/NJPN1386.docx</v>
      </c>
      <c r="T768" t="str">
        <f>HYPERLINK("https://docs.wto.org/imrd/directdoc.asp?DDFDocuments/v/G/SPS/NJPN1386.docx", "https://docs.wto.org/imrd/directdoc.asp?DDFDocuments/v/G/SPS/NJPN1386.docx")</f>
        <v>https://docs.wto.org/imrd/directdoc.asp?DDFDocuments/v/G/SPS/NJPN1386.docx</v>
      </c>
      <c r="U768" t="s">
        <v>43</v>
      </c>
      <c r="V768" t="s">
        <v>43</v>
      </c>
      <c r="W768" t="s">
        <v>43</v>
      </c>
      <c r="X768" t="s">
        <v>43</v>
      </c>
      <c r="Y768" t="s">
        <v>43</v>
      </c>
      <c r="Z768" t="s">
        <v>43</v>
      </c>
      <c r="AA768" t="s">
        <v>43</v>
      </c>
      <c r="AB768" s="2" t="s">
        <v>43</v>
      </c>
      <c r="AC768" t="s">
        <v>46</v>
      </c>
      <c r="AD768" t="s">
        <v>46</v>
      </c>
      <c r="AE768" t="s">
        <v>64</v>
      </c>
      <c r="AF768" t="s">
        <v>46</v>
      </c>
      <c r="AG768" t="s">
        <v>64</v>
      </c>
      <c r="AH768" s="2" t="s">
        <v>43</v>
      </c>
    </row>
    <row r="769" spans="1:34" ht="165">
      <c r="A769" s="6" t="s">
        <v>1276</v>
      </c>
      <c r="B769" s="7">
        <v>46058</v>
      </c>
      <c r="C769" s="9" t="str">
        <f>HYPERLINK("https://eping.wto.org/en/Search?viewData= G/SPS/N/ALB/215"," G/SPS/N/ALB/215")</f>
        <v xml:space="preserve"> G/SPS/N/ALB/215</v>
      </c>
      <c r="D769" s="8" t="s">
        <v>3209</v>
      </c>
      <c r="E769" s="8" t="s">
        <v>3210</v>
      </c>
      <c r="F769" s="8" t="s">
        <v>3211</v>
      </c>
      <c r="G769" s="8" t="s">
        <v>43</v>
      </c>
      <c r="H769" s="8" t="s">
        <v>43</v>
      </c>
      <c r="I769" s="8" t="s">
        <v>909</v>
      </c>
      <c r="J769" s="8" t="s">
        <v>43</v>
      </c>
      <c r="K769" s="8" t="s">
        <v>255</v>
      </c>
      <c r="L769" s="6" t="s">
        <v>43</v>
      </c>
      <c r="M769" s="7">
        <v>46118</v>
      </c>
      <c r="N769" s="7">
        <v>46113</v>
      </c>
      <c r="O769" s="7">
        <v>46113</v>
      </c>
      <c r="P769" s="6" t="s">
        <v>62</v>
      </c>
      <c r="Q769" s="8" t="s">
        <v>3212</v>
      </c>
      <c r="R769" t="str">
        <f>HYPERLINK("https://docs.wto.org/imrd/directdoc.asp?DDFDocuments/t/G/SPS/NALB215.docx", "https://docs.wto.org/imrd/directdoc.asp?DDFDocuments/t/G/SPS/NALB215.docx")</f>
        <v>https://docs.wto.org/imrd/directdoc.asp?DDFDocuments/t/G/SPS/NALB215.docx</v>
      </c>
      <c r="S769" t="str">
        <f>HYPERLINK("https://docs.wto.org/imrd/directdoc.asp?DDFDocuments/u/G/SPS/NALB215.docx", "https://docs.wto.org/imrd/directdoc.asp?DDFDocuments/u/G/SPS/NALB215.docx")</f>
        <v>https://docs.wto.org/imrd/directdoc.asp?DDFDocuments/u/G/SPS/NALB215.docx</v>
      </c>
      <c r="T769" t="str">
        <f>HYPERLINK("https://docs.wto.org/imrd/directdoc.asp?DDFDocuments/v/G/SPS/NALB215.docx", "https://docs.wto.org/imrd/directdoc.asp?DDFDocuments/v/G/SPS/NALB215.docx")</f>
        <v>https://docs.wto.org/imrd/directdoc.asp?DDFDocuments/v/G/SPS/NALB215.docx</v>
      </c>
      <c r="U769" t="s">
        <v>43</v>
      </c>
      <c r="V769" t="s">
        <v>43</v>
      </c>
      <c r="W769" t="s">
        <v>43</v>
      </c>
      <c r="X769" t="s">
        <v>43</v>
      </c>
      <c r="Y769" t="s">
        <v>43</v>
      </c>
      <c r="Z769" t="s">
        <v>43</v>
      </c>
      <c r="AA769" t="s">
        <v>43</v>
      </c>
      <c r="AB769" s="2" t="s">
        <v>43</v>
      </c>
      <c r="AC769" t="s">
        <v>46</v>
      </c>
      <c r="AD769" t="s">
        <v>46</v>
      </c>
      <c r="AE769" t="s">
        <v>46</v>
      </c>
      <c r="AF769" t="s">
        <v>64</v>
      </c>
      <c r="AG769" t="s">
        <v>99</v>
      </c>
      <c r="AH769" s="2" t="s">
        <v>43</v>
      </c>
    </row>
    <row r="770" spans="1:34" ht="45">
      <c r="A770" s="6" t="s">
        <v>146</v>
      </c>
      <c r="B770" s="7">
        <v>46058</v>
      </c>
      <c r="C770" s="9" t="str">
        <f>HYPERLINK("https://eping.wto.org/en/Search?viewData= G/TBT/N/CHL/764/Add.1"," G/TBT/N/CHL/764/Add.1")</f>
        <v xml:space="preserve"> G/TBT/N/CHL/764/Add.1</v>
      </c>
      <c r="D770" s="8" t="s">
        <v>3213</v>
      </c>
      <c r="E770" s="8" t="s">
        <v>3214</v>
      </c>
      <c r="F770" s="8" t="s">
        <v>3215</v>
      </c>
      <c r="G770" s="8" t="s">
        <v>43</v>
      </c>
      <c r="H770" s="8" t="s">
        <v>2868</v>
      </c>
      <c r="I770" s="8" t="s">
        <v>275</v>
      </c>
      <c r="J770" s="8" t="s">
        <v>43</v>
      </c>
      <c r="K770" s="8" t="s">
        <v>1029</v>
      </c>
      <c r="L770" s="6"/>
      <c r="M770" s="7">
        <v>46097</v>
      </c>
      <c r="N770" s="7"/>
      <c r="O770" s="7"/>
      <c r="P770" s="6" t="s">
        <v>44</v>
      </c>
      <c r="Q770" s="6"/>
      <c r="R770" t="str">
        <f>HYPERLINK("https://docs.wto.org/imrd/directdoc.asp?DDFDocuments/t/G/TBTN25/CHL764A1.docx", "https://docs.wto.org/imrd/directdoc.asp?DDFDocuments/t/G/TBTN25/CHL764A1.docx")</f>
        <v>https://docs.wto.org/imrd/directdoc.asp?DDFDocuments/t/G/TBTN25/CHL764A1.docx</v>
      </c>
      <c r="S770" t="str">
        <f>HYPERLINK("https://docs.wto.org/imrd/directdoc.asp?DDFDocuments/u/G/TBTN25/CHL764A1.docx", "https://docs.wto.org/imrd/directdoc.asp?DDFDocuments/u/G/TBTN25/CHL764A1.docx")</f>
        <v>https://docs.wto.org/imrd/directdoc.asp?DDFDocuments/u/G/TBTN25/CHL764A1.docx</v>
      </c>
      <c r="T770" t="str">
        <f>HYPERLINK("https://docs.wto.org/imrd/directdoc.asp?DDFDocuments/v/G/TBTN25/CHL764A1.docx", "https://docs.wto.org/imrd/directdoc.asp?DDFDocuments/v/G/TBTN25/CHL764A1.docx")</f>
        <v>https://docs.wto.org/imrd/directdoc.asp?DDFDocuments/v/G/TBTN25/CHL764A1.docx</v>
      </c>
      <c r="U770" t="s">
        <v>46</v>
      </c>
      <c r="V770" t="s">
        <v>46</v>
      </c>
      <c r="W770" t="s">
        <v>46</v>
      </c>
      <c r="X770" t="s">
        <v>46</v>
      </c>
      <c r="Y770" t="s">
        <v>46</v>
      </c>
      <c r="Z770" t="s">
        <v>46</v>
      </c>
      <c r="AA770" t="s">
        <v>46</v>
      </c>
      <c r="AB770" s="2" t="s">
        <v>43</v>
      </c>
      <c r="AC770" t="s">
        <v>43</v>
      </c>
      <c r="AD770" t="s">
        <v>43</v>
      </c>
      <c r="AE770" t="s">
        <v>43</v>
      </c>
      <c r="AF770" t="s">
        <v>43</v>
      </c>
      <c r="AG770" t="s">
        <v>43</v>
      </c>
      <c r="AH770" s="2" t="s">
        <v>43</v>
      </c>
    </row>
    <row r="771" spans="1:34" ht="75">
      <c r="A771" s="6" t="s">
        <v>146</v>
      </c>
      <c r="B771" s="7">
        <v>46058</v>
      </c>
      <c r="C771" s="9" t="str">
        <f>HYPERLINK("https://eping.wto.org/en/Search?viewData= G/SPS/N/CHL/876"," G/SPS/N/CHL/876")</f>
        <v xml:space="preserve"> G/SPS/N/CHL/876</v>
      </c>
      <c r="D771" s="8" t="s">
        <v>3216</v>
      </c>
      <c r="E771" s="8" t="s">
        <v>3217</v>
      </c>
      <c r="F771" s="8" t="s">
        <v>3218</v>
      </c>
      <c r="G771" s="8" t="s">
        <v>43</v>
      </c>
      <c r="H771" s="8" t="s">
        <v>43</v>
      </c>
      <c r="I771" s="8" t="s">
        <v>254</v>
      </c>
      <c r="J771" s="8" t="s">
        <v>43</v>
      </c>
      <c r="K771" s="8" t="s">
        <v>255</v>
      </c>
      <c r="L771" s="6" t="s">
        <v>356</v>
      </c>
      <c r="M771" s="7">
        <v>46118</v>
      </c>
      <c r="N771" s="7" t="s">
        <v>3219</v>
      </c>
      <c r="O771" s="7" t="s">
        <v>3220</v>
      </c>
      <c r="P771" s="6" t="s">
        <v>62</v>
      </c>
      <c r="Q771" s="8" t="s">
        <v>3221</v>
      </c>
      <c r="R771" t="str">
        <f>HYPERLINK("https://docs.wto.org/imrd/directdoc.asp?DDFDocuments/t/G/SPS/NCHL876.docx", "https://docs.wto.org/imrd/directdoc.asp?DDFDocuments/t/G/SPS/NCHL876.docx")</f>
        <v>https://docs.wto.org/imrd/directdoc.asp?DDFDocuments/t/G/SPS/NCHL876.docx</v>
      </c>
      <c r="S771" t="str">
        <f>HYPERLINK("https://docs.wto.org/imrd/directdoc.asp?DDFDocuments/u/G/SPS/NCHL876.docx", "https://docs.wto.org/imrd/directdoc.asp?DDFDocuments/u/G/SPS/NCHL876.docx")</f>
        <v>https://docs.wto.org/imrd/directdoc.asp?DDFDocuments/u/G/SPS/NCHL876.docx</v>
      </c>
      <c r="T771" t="str">
        <f>HYPERLINK("https://docs.wto.org/imrd/directdoc.asp?DDFDocuments/v/G/SPS/NCHL876.docx", "https://docs.wto.org/imrd/directdoc.asp?DDFDocuments/v/G/SPS/NCHL876.docx")</f>
        <v>https://docs.wto.org/imrd/directdoc.asp?DDFDocuments/v/G/SPS/NCHL876.docx</v>
      </c>
      <c r="U771" t="s">
        <v>43</v>
      </c>
      <c r="V771" t="s">
        <v>43</v>
      </c>
      <c r="W771" t="s">
        <v>43</v>
      </c>
      <c r="X771" t="s">
        <v>43</v>
      </c>
      <c r="Y771" t="s">
        <v>43</v>
      </c>
      <c r="Z771" t="s">
        <v>43</v>
      </c>
      <c r="AA771" t="s">
        <v>43</v>
      </c>
      <c r="AB771" s="2" t="s">
        <v>43</v>
      </c>
      <c r="AC771" t="s">
        <v>46</v>
      </c>
      <c r="AD771" t="s">
        <v>46</v>
      </c>
      <c r="AE771" t="s">
        <v>64</v>
      </c>
      <c r="AF771" t="s">
        <v>46</v>
      </c>
      <c r="AG771" t="s">
        <v>64</v>
      </c>
      <c r="AH771" s="2" t="s">
        <v>43</v>
      </c>
    </row>
    <row r="772" spans="1:34" ht="45">
      <c r="A772" s="6" t="s">
        <v>146</v>
      </c>
      <c r="B772" s="7">
        <v>46058</v>
      </c>
      <c r="C772" s="9" t="str">
        <f>HYPERLINK("https://eping.wto.org/en/Search?viewData= G/TBT/N/CHL/773/Add.1"," G/TBT/N/CHL/773/Add.1")</f>
        <v xml:space="preserve"> G/TBT/N/CHL/773/Add.1</v>
      </c>
      <c r="D772" s="8" t="s">
        <v>3222</v>
      </c>
      <c r="E772" s="8" t="s">
        <v>3214</v>
      </c>
      <c r="F772" s="8" t="s">
        <v>3223</v>
      </c>
      <c r="G772" s="8" t="s">
        <v>43</v>
      </c>
      <c r="H772" s="8" t="s">
        <v>3224</v>
      </c>
      <c r="I772" s="8" t="s">
        <v>1124</v>
      </c>
      <c r="J772" s="8" t="s">
        <v>43</v>
      </c>
      <c r="K772" s="8" t="s">
        <v>1029</v>
      </c>
      <c r="L772" s="6"/>
      <c r="M772" s="7">
        <v>46124</v>
      </c>
      <c r="N772" s="7"/>
      <c r="O772" s="7"/>
      <c r="P772" s="6" t="s">
        <v>44</v>
      </c>
      <c r="Q772" s="6"/>
      <c r="R772" t="str">
        <f>HYPERLINK("https://docs.wto.org/imrd/directdoc.asp?DDFDocuments/t/G/TBTN26/CHL773A1.docx", "https://docs.wto.org/imrd/directdoc.asp?DDFDocuments/t/G/TBTN26/CHL773A1.docx")</f>
        <v>https://docs.wto.org/imrd/directdoc.asp?DDFDocuments/t/G/TBTN26/CHL773A1.docx</v>
      </c>
      <c r="S772" t="str">
        <f>HYPERLINK("https://docs.wto.org/imrd/directdoc.asp?DDFDocuments/u/G/TBTN26/CHL773A1.docx", "https://docs.wto.org/imrd/directdoc.asp?DDFDocuments/u/G/TBTN26/CHL773A1.docx")</f>
        <v>https://docs.wto.org/imrd/directdoc.asp?DDFDocuments/u/G/TBTN26/CHL773A1.docx</v>
      </c>
      <c r="T772" t="str">
        <f>HYPERLINK("https://docs.wto.org/imrd/directdoc.asp?DDFDocuments/v/G/TBTN26/CHL773A1.docx", "https://docs.wto.org/imrd/directdoc.asp?DDFDocuments/v/G/TBTN26/CHL773A1.docx")</f>
        <v>https://docs.wto.org/imrd/directdoc.asp?DDFDocuments/v/G/TBTN26/CHL773A1.docx</v>
      </c>
      <c r="U772" t="s">
        <v>46</v>
      </c>
      <c r="V772" t="s">
        <v>46</v>
      </c>
      <c r="W772" t="s">
        <v>46</v>
      </c>
      <c r="X772" t="s">
        <v>46</v>
      </c>
      <c r="Y772" t="s">
        <v>46</v>
      </c>
      <c r="Z772" t="s">
        <v>46</v>
      </c>
      <c r="AA772" t="s">
        <v>46</v>
      </c>
      <c r="AB772" s="2" t="s">
        <v>43</v>
      </c>
      <c r="AC772" t="s">
        <v>43</v>
      </c>
      <c r="AD772" t="s">
        <v>43</v>
      </c>
      <c r="AE772" t="s">
        <v>43</v>
      </c>
      <c r="AF772" t="s">
        <v>43</v>
      </c>
      <c r="AG772" t="s">
        <v>43</v>
      </c>
      <c r="AH772" s="2" t="s">
        <v>43</v>
      </c>
    </row>
    <row r="773" spans="1:34" ht="135">
      <c r="A773" s="6" t="s">
        <v>356</v>
      </c>
      <c r="B773" s="7">
        <v>46058</v>
      </c>
      <c r="C773" s="9" t="str">
        <f>HYPERLINK("https://eping.wto.org/en/Search?viewData= G/SPS/N/EU/916"," G/SPS/N/EU/916")</f>
        <v xml:space="preserve"> G/SPS/N/EU/916</v>
      </c>
      <c r="D773" s="8" t="s">
        <v>3225</v>
      </c>
      <c r="E773" s="8" t="s">
        <v>3226</v>
      </c>
      <c r="F773" s="8" t="s">
        <v>870</v>
      </c>
      <c r="G773" s="8" t="s">
        <v>3227</v>
      </c>
      <c r="H773" s="8" t="s">
        <v>43</v>
      </c>
      <c r="I773" s="8" t="s">
        <v>58</v>
      </c>
      <c r="J773" s="8" t="s">
        <v>43</v>
      </c>
      <c r="K773" s="8" t="s">
        <v>3228</v>
      </c>
      <c r="L773" s="6"/>
      <c r="M773" s="7">
        <v>46118</v>
      </c>
      <c r="N773" s="7">
        <v>46204</v>
      </c>
      <c r="O773" s="7" t="s">
        <v>3229</v>
      </c>
      <c r="P773" s="6" t="s">
        <v>62</v>
      </c>
      <c r="Q773" s="8" t="s">
        <v>3230</v>
      </c>
      <c r="R773" t="str">
        <f>HYPERLINK("https://docs.wto.org/imrd/directdoc.asp?DDFDocuments/t/G/SPS/NEU916.docx", "https://docs.wto.org/imrd/directdoc.asp?DDFDocuments/t/G/SPS/NEU916.docx")</f>
        <v>https://docs.wto.org/imrd/directdoc.asp?DDFDocuments/t/G/SPS/NEU916.docx</v>
      </c>
      <c r="S773" t="str">
        <f>HYPERLINK("https://docs.wto.org/imrd/directdoc.asp?DDFDocuments/u/G/SPS/NEU916.docx", "https://docs.wto.org/imrd/directdoc.asp?DDFDocuments/u/G/SPS/NEU916.docx")</f>
        <v>https://docs.wto.org/imrd/directdoc.asp?DDFDocuments/u/G/SPS/NEU916.docx</v>
      </c>
      <c r="T773" t="str">
        <f>HYPERLINK("https://docs.wto.org/imrd/directdoc.asp?DDFDocuments/v/G/SPS/NEU916.docx", "https://docs.wto.org/imrd/directdoc.asp?DDFDocuments/v/G/SPS/NEU916.docx")</f>
        <v>https://docs.wto.org/imrd/directdoc.asp?DDFDocuments/v/G/SPS/NEU916.docx</v>
      </c>
      <c r="U773" t="s">
        <v>43</v>
      </c>
      <c r="V773" t="s">
        <v>43</v>
      </c>
      <c r="W773" t="s">
        <v>43</v>
      </c>
      <c r="X773" t="s">
        <v>43</v>
      </c>
      <c r="Y773" t="s">
        <v>43</v>
      </c>
      <c r="Z773" t="s">
        <v>43</v>
      </c>
      <c r="AA773" t="s">
        <v>43</v>
      </c>
      <c r="AB773" s="2" t="s">
        <v>43</v>
      </c>
      <c r="AC773" t="s">
        <v>64</v>
      </c>
      <c r="AD773" t="s">
        <v>46</v>
      </c>
      <c r="AE773" t="s">
        <v>46</v>
      </c>
      <c r="AF773" t="s">
        <v>46</v>
      </c>
      <c r="AG773" t="s">
        <v>46</v>
      </c>
      <c r="AH773" s="2" t="s">
        <v>3231</v>
      </c>
    </row>
    <row r="774" spans="1:34" ht="105">
      <c r="A774" s="6" t="s">
        <v>880</v>
      </c>
      <c r="B774" s="7">
        <v>46058</v>
      </c>
      <c r="C774" s="9" t="str">
        <f>HYPERLINK("https://eping.wto.org/en/Search?viewData= G/TBT/N/ECU/394/Rev.2/Corr.1"," G/TBT/N/ECU/394/Rev.2/Corr.1")</f>
        <v xml:space="preserve"> G/TBT/N/ECU/394/Rev.2/Corr.1</v>
      </c>
      <c r="D774" s="8" t="s">
        <v>3232</v>
      </c>
      <c r="E774" s="8" t="s">
        <v>3233</v>
      </c>
      <c r="F774" s="8" t="s">
        <v>3234</v>
      </c>
      <c r="G774" s="8" t="s">
        <v>3235</v>
      </c>
      <c r="H774" s="8" t="s">
        <v>43</v>
      </c>
      <c r="I774" s="8" t="s">
        <v>3236</v>
      </c>
      <c r="J774" s="8" t="s">
        <v>43</v>
      </c>
      <c r="K774" s="8" t="s">
        <v>43</v>
      </c>
      <c r="L774" s="6"/>
      <c r="M774" s="7" t="s">
        <v>43</v>
      </c>
      <c r="N774" s="7"/>
      <c r="O774" s="7"/>
      <c r="P774" s="6" t="s">
        <v>296</v>
      </c>
      <c r="Q774" s="8" t="s">
        <v>3237</v>
      </c>
      <c r="R774" t="str">
        <f>HYPERLINK("https://docs.wto.org/imrd/directdoc.asp?DDFDocuments/t/G/TBTN19/ECU394R2C1.docx", "https://docs.wto.org/imrd/directdoc.asp?DDFDocuments/t/G/TBTN19/ECU394R2C1.docx")</f>
        <v>https://docs.wto.org/imrd/directdoc.asp?DDFDocuments/t/G/TBTN19/ECU394R2C1.docx</v>
      </c>
      <c r="T774" t="str">
        <f>HYPERLINK("https://docs.wto.org/imrd/directdoc.asp?DDFDocuments/v/G/TBTN19/ECU394R2C1.docx", "https://docs.wto.org/imrd/directdoc.asp?DDFDocuments/v/G/TBTN19/ECU394R2C1.docx")</f>
        <v>https://docs.wto.org/imrd/directdoc.asp?DDFDocuments/v/G/TBTN19/ECU394R2C1.docx</v>
      </c>
      <c r="U774" t="s">
        <v>46</v>
      </c>
      <c r="V774" t="s">
        <v>46</v>
      </c>
      <c r="W774" t="s">
        <v>46</v>
      </c>
      <c r="X774" t="s">
        <v>46</v>
      </c>
      <c r="Y774" t="s">
        <v>46</v>
      </c>
      <c r="Z774" t="s">
        <v>46</v>
      </c>
      <c r="AA774" t="s">
        <v>46</v>
      </c>
      <c r="AB774" s="2" t="s">
        <v>43</v>
      </c>
      <c r="AC774" t="s">
        <v>43</v>
      </c>
      <c r="AD774" t="s">
        <v>43</v>
      </c>
      <c r="AE774" t="s">
        <v>43</v>
      </c>
      <c r="AF774" t="s">
        <v>43</v>
      </c>
      <c r="AG774" t="s">
        <v>43</v>
      </c>
      <c r="AH774" s="2" t="s">
        <v>43</v>
      </c>
    </row>
    <row r="775" spans="1:34" ht="75">
      <c r="A775" s="6" t="s">
        <v>1346</v>
      </c>
      <c r="B775" s="7">
        <v>46058</v>
      </c>
      <c r="C775" s="9" t="str">
        <f>HYPERLINK("https://eping.wto.org/en/Search?viewData= G/TBT/N/KGZ/64"," G/TBT/N/KGZ/64")</f>
        <v xml:space="preserve"> G/TBT/N/KGZ/64</v>
      </c>
      <c r="D775" s="8" t="s">
        <v>3238</v>
      </c>
      <c r="E775" s="8" t="s">
        <v>3239</v>
      </c>
      <c r="F775" s="8" t="s">
        <v>3240</v>
      </c>
      <c r="G775" s="8" t="s">
        <v>43</v>
      </c>
      <c r="H775" s="8" t="s">
        <v>1427</v>
      </c>
      <c r="I775" s="8" t="s">
        <v>275</v>
      </c>
      <c r="J775" s="8" t="s">
        <v>3241</v>
      </c>
      <c r="K775" s="8" t="s">
        <v>350</v>
      </c>
      <c r="L775" s="6"/>
      <c r="M775" s="7">
        <v>46080</v>
      </c>
      <c r="N775" s="7" t="s">
        <v>3242</v>
      </c>
      <c r="O775" s="7" t="s">
        <v>3242</v>
      </c>
      <c r="P775" s="6" t="s">
        <v>62</v>
      </c>
      <c r="Q775" s="8" t="s">
        <v>3243</v>
      </c>
      <c r="R775" t="str">
        <f>HYPERLINK("https://docs.wto.org/imrd/directdoc.asp?DDFDocuments/t/G/TBTN26/KGZ64.docx", "https://docs.wto.org/imrd/directdoc.asp?DDFDocuments/t/G/TBTN26/KGZ64.docx")</f>
        <v>https://docs.wto.org/imrd/directdoc.asp?DDFDocuments/t/G/TBTN26/KGZ64.docx</v>
      </c>
      <c r="S775" t="str">
        <f>HYPERLINK("https://docs.wto.org/imrd/directdoc.asp?DDFDocuments/u/G/TBTN26/KGZ64.docx", "https://docs.wto.org/imrd/directdoc.asp?DDFDocuments/u/G/TBTN26/KGZ64.docx")</f>
        <v>https://docs.wto.org/imrd/directdoc.asp?DDFDocuments/u/G/TBTN26/KGZ64.docx</v>
      </c>
      <c r="T775" t="str">
        <f>HYPERLINK("https://docs.wto.org/imrd/directdoc.asp?DDFDocuments/v/G/TBTN26/KGZ64.docx", "https://docs.wto.org/imrd/directdoc.asp?DDFDocuments/v/G/TBTN26/KGZ64.docx")</f>
        <v>https://docs.wto.org/imrd/directdoc.asp?DDFDocuments/v/G/TBTN26/KGZ64.docx</v>
      </c>
      <c r="U775" t="s">
        <v>64</v>
      </c>
      <c r="V775" t="s">
        <v>46</v>
      </c>
      <c r="W775" t="s">
        <v>46</v>
      </c>
      <c r="X775" t="s">
        <v>46</v>
      </c>
      <c r="Y775" t="s">
        <v>46</v>
      </c>
      <c r="Z775" t="s">
        <v>46</v>
      </c>
      <c r="AA775" t="s">
        <v>46</v>
      </c>
      <c r="AB775" s="2" t="s">
        <v>3244</v>
      </c>
      <c r="AC775" t="s">
        <v>43</v>
      </c>
      <c r="AD775" t="s">
        <v>43</v>
      </c>
      <c r="AE775" t="s">
        <v>43</v>
      </c>
      <c r="AF775" t="s">
        <v>43</v>
      </c>
      <c r="AG775" t="s">
        <v>43</v>
      </c>
      <c r="AH775" s="2" t="s">
        <v>43</v>
      </c>
    </row>
    <row r="776" spans="1:34" ht="45">
      <c r="A776" s="6" t="s">
        <v>146</v>
      </c>
      <c r="B776" s="7">
        <v>46058</v>
      </c>
      <c r="C776" s="9" t="str">
        <f>HYPERLINK("https://eping.wto.org/en/Search?viewData= G/TBT/N/CHL/775/Add.1"," G/TBT/N/CHL/775/Add.1")</f>
        <v xml:space="preserve"> G/TBT/N/CHL/775/Add.1</v>
      </c>
      <c r="D776" s="8" t="s">
        <v>3245</v>
      </c>
      <c r="E776" s="8" t="s">
        <v>3214</v>
      </c>
      <c r="F776" s="8" t="s">
        <v>3215</v>
      </c>
      <c r="G776" s="8" t="s">
        <v>43</v>
      </c>
      <c r="H776" s="8" t="s">
        <v>2868</v>
      </c>
      <c r="I776" s="8" t="s">
        <v>275</v>
      </c>
      <c r="J776" s="8" t="s">
        <v>43</v>
      </c>
      <c r="K776" s="8" t="s">
        <v>1029</v>
      </c>
      <c r="L776" s="6"/>
      <c r="M776" s="7">
        <v>46145</v>
      </c>
      <c r="N776" s="7"/>
      <c r="O776" s="7"/>
      <c r="P776" s="6" t="s">
        <v>44</v>
      </c>
      <c r="Q776" s="6"/>
      <c r="R776" t="str">
        <f>HYPERLINK("https://docs.wto.org/imrd/directdoc.asp?DDFDocuments/t/G/TBTN26/CHL775A1.docx", "https://docs.wto.org/imrd/directdoc.asp?DDFDocuments/t/G/TBTN26/CHL775A1.docx")</f>
        <v>https://docs.wto.org/imrd/directdoc.asp?DDFDocuments/t/G/TBTN26/CHL775A1.docx</v>
      </c>
      <c r="S776" t="str">
        <f>HYPERLINK("https://docs.wto.org/imrd/directdoc.asp?DDFDocuments/u/G/TBTN26/CHL775A1.docx", "https://docs.wto.org/imrd/directdoc.asp?DDFDocuments/u/G/TBTN26/CHL775A1.docx")</f>
        <v>https://docs.wto.org/imrd/directdoc.asp?DDFDocuments/u/G/TBTN26/CHL775A1.docx</v>
      </c>
      <c r="T776" t="str">
        <f>HYPERLINK("https://docs.wto.org/imrd/directdoc.asp?DDFDocuments/v/G/TBTN26/CHL775A1.docx", "https://docs.wto.org/imrd/directdoc.asp?DDFDocuments/v/G/TBTN26/CHL775A1.docx")</f>
        <v>https://docs.wto.org/imrd/directdoc.asp?DDFDocuments/v/G/TBTN26/CHL775A1.docx</v>
      </c>
      <c r="U776" t="s">
        <v>46</v>
      </c>
      <c r="V776" t="s">
        <v>46</v>
      </c>
      <c r="W776" t="s">
        <v>46</v>
      </c>
      <c r="X776" t="s">
        <v>46</v>
      </c>
      <c r="Y776" t="s">
        <v>46</v>
      </c>
      <c r="Z776" t="s">
        <v>46</v>
      </c>
      <c r="AA776" t="s">
        <v>46</v>
      </c>
      <c r="AB776" s="2" t="s">
        <v>43</v>
      </c>
      <c r="AC776" t="s">
        <v>43</v>
      </c>
      <c r="AD776" t="s">
        <v>43</v>
      </c>
      <c r="AE776" t="s">
        <v>43</v>
      </c>
      <c r="AF776" t="s">
        <v>43</v>
      </c>
      <c r="AG776" t="s">
        <v>43</v>
      </c>
      <c r="AH776" s="2" t="s">
        <v>43</v>
      </c>
    </row>
    <row r="777" spans="1:34" ht="225">
      <c r="A777" s="6" t="s">
        <v>2430</v>
      </c>
      <c r="B777" s="7">
        <v>46058</v>
      </c>
      <c r="C777" s="9" t="str">
        <f>HYPERLINK("https://eping.wto.org/en/Search?viewData= G/SPS/N/NIC/257"," G/SPS/N/NIC/257")</f>
        <v xml:space="preserve"> G/SPS/N/NIC/257</v>
      </c>
      <c r="D777" s="8" t="s">
        <v>3246</v>
      </c>
      <c r="E777" s="8" t="s">
        <v>3247</v>
      </c>
      <c r="F777" s="8" t="s">
        <v>3248</v>
      </c>
      <c r="G777" s="8" t="s">
        <v>43</v>
      </c>
      <c r="H777" s="8" t="s">
        <v>43</v>
      </c>
      <c r="I777" s="8" t="s">
        <v>2433</v>
      </c>
      <c r="J777" s="8" t="s">
        <v>43</v>
      </c>
      <c r="K777" s="8" t="s">
        <v>3249</v>
      </c>
      <c r="L777" s="6" t="s">
        <v>132</v>
      </c>
      <c r="M777" s="7">
        <v>46118</v>
      </c>
      <c r="N777" s="7" t="s">
        <v>79</v>
      </c>
      <c r="O777" s="7" t="s">
        <v>79</v>
      </c>
      <c r="P777" s="6" t="s">
        <v>62</v>
      </c>
      <c r="Q777" s="8" t="s">
        <v>3250</v>
      </c>
      <c r="R777" t="str">
        <f>HYPERLINK("https://docs.wto.org/imrd/directdoc.asp?DDFDocuments/t/G/SPS/NNIC257.docx", "https://docs.wto.org/imrd/directdoc.asp?DDFDocuments/t/G/SPS/NNIC257.docx")</f>
        <v>https://docs.wto.org/imrd/directdoc.asp?DDFDocuments/t/G/SPS/NNIC257.docx</v>
      </c>
      <c r="S777" t="str">
        <f>HYPERLINK("https://docs.wto.org/imrd/directdoc.asp?DDFDocuments/u/G/SPS/NNIC257.docx", "https://docs.wto.org/imrd/directdoc.asp?DDFDocuments/u/G/SPS/NNIC257.docx")</f>
        <v>https://docs.wto.org/imrd/directdoc.asp?DDFDocuments/u/G/SPS/NNIC257.docx</v>
      </c>
      <c r="T777" t="str">
        <f>HYPERLINK("https://docs.wto.org/imrd/directdoc.asp?DDFDocuments/v/G/SPS/NNIC257.docx", "https://docs.wto.org/imrd/directdoc.asp?DDFDocuments/v/G/SPS/NNIC257.docx")</f>
        <v>https://docs.wto.org/imrd/directdoc.asp?DDFDocuments/v/G/SPS/NNIC257.docx</v>
      </c>
      <c r="U777" t="s">
        <v>43</v>
      </c>
      <c r="V777" t="s">
        <v>43</v>
      </c>
      <c r="W777" t="s">
        <v>43</v>
      </c>
      <c r="X777" t="s">
        <v>43</v>
      </c>
      <c r="Y777" t="s">
        <v>43</v>
      </c>
      <c r="Z777" t="s">
        <v>43</v>
      </c>
      <c r="AA777" t="s">
        <v>43</v>
      </c>
      <c r="AB777" s="2" t="s">
        <v>43</v>
      </c>
      <c r="AC777" t="s">
        <v>46</v>
      </c>
      <c r="AD777" t="s">
        <v>46</v>
      </c>
      <c r="AE777" t="s">
        <v>46</v>
      </c>
      <c r="AF777" t="s">
        <v>64</v>
      </c>
      <c r="AG777" t="s">
        <v>99</v>
      </c>
      <c r="AH777" s="2" t="s">
        <v>43</v>
      </c>
    </row>
    <row r="778" spans="1:34" ht="45">
      <c r="A778" s="6" t="s">
        <v>146</v>
      </c>
      <c r="B778" s="7">
        <v>46058</v>
      </c>
      <c r="C778" s="9" t="str">
        <f>HYPERLINK("https://eping.wto.org/en/Search?viewData= G/TBT/N/CHL/777/Add.1"," G/TBT/N/CHL/777/Add.1")</f>
        <v xml:space="preserve"> G/TBT/N/CHL/777/Add.1</v>
      </c>
      <c r="D778" s="8" t="s">
        <v>3251</v>
      </c>
      <c r="E778" s="8" t="s">
        <v>3214</v>
      </c>
      <c r="F778" s="8" t="s">
        <v>3215</v>
      </c>
      <c r="G778" s="8" t="s">
        <v>43</v>
      </c>
      <c r="H778" s="8" t="s">
        <v>2868</v>
      </c>
      <c r="I778" s="8" t="s">
        <v>275</v>
      </c>
      <c r="J778" s="8" t="s">
        <v>43</v>
      </c>
      <c r="K778" s="8" t="s">
        <v>1029</v>
      </c>
      <c r="L778" s="6"/>
      <c r="M778" s="7">
        <v>46145</v>
      </c>
      <c r="N778" s="7"/>
      <c r="O778" s="7"/>
      <c r="P778" s="6" t="s">
        <v>44</v>
      </c>
      <c r="Q778" s="6"/>
      <c r="R778" t="str">
        <f>HYPERLINK("https://docs.wto.org/imrd/directdoc.asp?DDFDocuments/t/G/TBTN26/CHL777A1.docx", "https://docs.wto.org/imrd/directdoc.asp?DDFDocuments/t/G/TBTN26/CHL777A1.docx")</f>
        <v>https://docs.wto.org/imrd/directdoc.asp?DDFDocuments/t/G/TBTN26/CHL777A1.docx</v>
      </c>
      <c r="S778" t="str">
        <f>HYPERLINK("https://docs.wto.org/imrd/directdoc.asp?DDFDocuments/u/G/TBTN26/CHL777A1.docx", "https://docs.wto.org/imrd/directdoc.asp?DDFDocuments/u/G/TBTN26/CHL777A1.docx")</f>
        <v>https://docs.wto.org/imrd/directdoc.asp?DDFDocuments/u/G/TBTN26/CHL777A1.docx</v>
      </c>
      <c r="T778" t="str">
        <f>HYPERLINK("https://docs.wto.org/imrd/directdoc.asp?DDFDocuments/v/G/TBTN26/CHL777A1.docx", "https://docs.wto.org/imrd/directdoc.asp?DDFDocuments/v/G/TBTN26/CHL777A1.docx")</f>
        <v>https://docs.wto.org/imrd/directdoc.asp?DDFDocuments/v/G/TBTN26/CHL777A1.docx</v>
      </c>
      <c r="U778" t="s">
        <v>46</v>
      </c>
      <c r="V778" t="s">
        <v>46</v>
      </c>
      <c r="W778" t="s">
        <v>46</v>
      </c>
      <c r="X778" t="s">
        <v>46</v>
      </c>
      <c r="Y778" t="s">
        <v>46</v>
      </c>
      <c r="Z778" t="s">
        <v>46</v>
      </c>
      <c r="AA778" t="s">
        <v>46</v>
      </c>
      <c r="AB778" s="2" t="s">
        <v>43</v>
      </c>
      <c r="AC778" t="s">
        <v>43</v>
      </c>
      <c r="AD778" t="s">
        <v>43</v>
      </c>
      <c r="AE778" t="s">
        <v>43</v>
      </c>
      <c r="AF778" t="s">
        <v>43</v>
      </c>
      <c r="AG778" t="s">
        <v>43</v>
      </c>
      <c r="AH778" s="2" t="s">
        <v>43</v>
      </c>
    </row>
    <row r="779" spans="1:34" ht="135">
      <c r="A779" s="6" t="s">
        <v>2430</v>
      </c>
      <c r="B779" s="7">
        <v>46057</v>
      </c>
      <c r="C779" s="9" t="str">
        <f>HYPERLINK("https://eping.wto.org/en/Search?viewData= G/SPS/N/NIC/253"," G/SPS/N/NIC/253")</f>
        <v xml:space="preserve"> G/SPS/N/NIC/253</v>
      </c>
      <c r="D779" s="8" t="s">
        <v>3252</v>
      </c>
      <c r="E779" s="8" t="s">
        <v>3253</v>
      </c>
      <c r="F779" s="8" t="s">
        <v>3254</v>
      </c>
      <c r="G779" s="8" t="s">
        <v>43</v>
      </c>
      <c r="H779" s="8" t="s">
        <v>43</v>
      </c>
      <c r="I779" s="8" t="s">
        <v>2433</v>
      </c>
      <c r="J779" s="8" t="s">
        <v>43</v>
      </c>
      <c r="K779" s="8" t="s">
        <v>95</v>
      </c>
      <c r="L779" s="6" t="s">
        <v>89</v>
      </c>
      <c r="M779" s="7">
        <v>46117</v>
      </c>
      <c r="N779" s="7" t="s">
        <v>79</v>
      </c>
      <c r="O779" s="7" t="s">
        <v>79</v>
      </c>
      <c r="P779" s="6" t="s">
        <v>62</v>
      </c>
      <c r="Q779" s="8" t="s">
        <v>3255</v>
      </c>
      <c r="R779" t="str">
        <f>HYPERLINK("https://docs.wto.org/imrd/directdoc.asp?DDFDocuments/t/G/SPS/NNIC253.docx", "https://docs.wto.org/imrd/directdoc.asp?DDFDocuments/t/G/SPS/NNIC253.docx")</f>
        <v>https://docs.wto.org/imrd/directdoc.asp?DDFDocuments/t/G/SPS/NNIC253.docx</v>
      </c>
      <c r="S779" t="str">
        <f>HYPERLINK("https://docs.wto.org/imrd/directdoc.asp?DDFDocuments/u/G/SPS/NNIC253.docx", "https://docs.wto.org/imrd/directdoc.asp?DDFDocuments/u/G/SPS/NNIC253.docx")</f>
        <v>https://docs.wto.org/imrd/directdoc.asp?DDFDocuments/u/G/SPS/NNIC253.docx</v>
      </c>
      <c r="T779" t="str">
        <f>HYPERLINK("https://docs.wto.org/imrd/directdoc.asp?DDFDocuments/v/G/SPS/NNIC253.docx", "https://docs.wto.org/imrd/directdoc.asp?DDFDocuments/v/G/SPS/NNIC253.docx")</f>
        <v>https://docs.wto.org/imrd/directdoc.asp?DDFDocuments/v/G/SPS/NNIC253.docx</v>
      </c>
      <c r="U779" t="s">
        <v>43</v>
      </c>
      <c r="V779" t="s">
        <v>43</v>
      </c>
      <c r="W779" t="s">
        <v>43</v>
      </c>
      <c r="X779" t="s">
        <v>43</v>
      </c>
      <c r="Y779" t="s">
        <v>43</v>
      </c>
      <c r="Z779" t="s">
        <v>43</v>
      </c>
      <c r="AA779" t="s">
        <v>43</v>
      </c>
      <c r="AB779" s="2" t="s">
        <v>43</v>
      </c>
      <c r="AC779" t="s">
        <v>46</v>
      </c>
      <c r="AD779" t="s">
        <v>46</v>
      </c>
      <c r="AE779" t="s">
        <v>46</v>
      </c>
      <c r="AF779" t="s">
        <v>64</v>
      </c>
      <c r="AG779" t="s">
        <v>99</v>
      </c>
      <c r="AH779" s="2" t="s">
        <v>43</v>
      </c>
    </row>
    <row r="780" spans="1:34" ht="90">
      <c r="A780" s="6" t="s">
        <v>124</v>
      </c>
      <c r="B780" s="7">
        <v>46057</v>
      </c>
      <c r="C780" s="9" t="str">
        <f>HYPERLINK("https://eping.wto.org/en/Search?viewData= G/TBT/N/BDI/209/Add.3, G/TBT/N/KEN/1205/Add.3, G/TBT/N/RWA/600/Add.3, G/TBT/N/TZA/700/Add.3, G/TBT/N/UGA/1540/Add.3"," G/TBT/N/BDI/209/Add.3, G/TBT/N/KEN/1205/Add.3, G/TBT/N/RWA/600/Add.3, G/TBT/N/TZA/700/Add.3, G/TBT/N/UGA/1540/Add.3")</f>
        <v xml:space="preserve"> G/TBT/N/BDI/209/Add.3, G/TBT/N/KEN/1205/Add.3, G/TBT/N/RWA/600/Add.3, G/TBT/N/TZA/700/Add.3, G/TBT/N/UGA/1540/Add.3</v>
      </c>
      <c r="D780" s="8" t="s">
        <v>3256</v>
      </c>
      <c r="E780" s="8" t="s">
        <v>3257</v>
      </c>
      <c r="F780" s="8" t="s">
        <v>3258</v>
      </c>
      <c r="G780" s="8" t="s">
        <v>3259</v>
      </c>
      <c r="H780" s="8" t="s">
        <v>3260</v>
      </c>
      <c r="I780" s="8" t="s">
        <v>3261</v>
      </c>
      <c r="J780" s="8" t="s">
        <v>43</v>
      </c>
      <c r="K780" s="8" t="s">
        <v>43</v>
      </c>
      <c r="L780" s="6"/>
      <c r="M780" s="7" t="s">
        <v>43</v>
      </c>
      <c r="N780" s="7"/>
      <c r="O780" s="7"/>
      <c r="P780" s="6" t="s">
        <v>44</v>
      </c>
      <c r="Q780" s="6"/>
      <c r="R780" t="str">
        <f>HYPERLINK("https://docs.wto.org/imrd/directdoc.asp?DDFDocuments/t/G/TBTN22/BDI209A3.docx", "https://docs.wto.org/imrd/directdoc.asp?DDFDocuments/t/G/TBTN22/BDI209A3.docx")</f>
        <v>https://docs.wto.org/imrd/directdoc.asp?DDFDocuments/t/G/TBTN22/BDI209A3.docx</v>
      </c>
      <c r="S780" t="str">
        <f>HYPERLINK("https://docs.wto.org/imrd/directdoc.asp?DDFDocuments/u/G/TBTN22/BDI209A3.docx", "https://docs.wto.org/imrd/directdoc.asp?DDFDocuments/u/G/TBTN22/BDI209A3.docx")</f>
        <v>https://docs.wto.org/imrd/directdoc.asp?DDFDocuments/u/G/TBTN22/BDI209A3.docx</v>
      </c>
      <c r="T780" t="str">
        <f>HYPERLINK("https://docs.wto.org/imrd/directdoc.asp?DDFDocuments/v/G/TBTN22/BDI209A3.docx", "https://docs.wto.org/imrd/directdoc.asp?DDFDocuments/v/G/TBTN22/BDI209A3.docx")</f>
        <v>https://docs.wto.org/imrd/directdoc.asp?DDFDocuments/v/G/TBTN22/BDI209A3.docx</v>
      </c>
      <c r="U780" t="s">
        <v>64</v>
      </c>
      <c r="V780" t="s">
        <v>46</v>
      </c>
      <c r="W780" t="s">
        <v>64</v>
      </c>
      <c r="X780" t="s">
        <v>46</v>
      </c>
      <c r="Y780" t="s">
        <v>46</v>
      </c>
      <c r="Z780" t="s">
        <v>46</v>
      </c>
      <c r="AA780" t="s">
        <v>46</v>
      </c>
      <c r="AB780" s="2" t="s">
        <v>43</v>
      </c>
      <c r="AC780" t="s">
        <v>43</v>
      </c>
      <c r="AD780" t="s">
        <v>43</v>
      </c>
      <c r="AE780" t="s">
        <v>43</v>
      </c>
      <c r="AF780" t="s">
        <v>43</v>
      </c>
      <c r="AG780" t="s">
        <v>43</v>
      </c>
      <c r="AH780" s="2" t="s">
        <v>43</v>
      </c>
    </row>
    <row r="781" spans="1:34" ht="90">
      <c r="A781" s="6" t="s">
        <v>124</v>
      </c>
      <c r="B781" s="7">
        <v>46057</v>
      </c>
      <c r="C781" s="9" t="str">
        <f>HYPERLINK("https://eping.wto.org/en/Search?viewData= G/TBT/N/BDI/206/Add.3, G/TBT/N/KEN/1202/Add.3, G/TBT/N/RWA/597/Add.3, G/TBT/N/TZA/697/Add.3, G/TBT/N/UGA/1537/Add.3"," G/TBT/N/BDI/206/Add.3, G/TBT/N/KEN/1202/Add.3, G/TBT/N/RWA/597/Add.3, G/TBT/N/TZA/697/Add.3, G/TBT/N/UGA/1537/Add.3")</f>
        <v xml:space="preserve"> G/TBT/N/BDI/206/Add.3, G/TBT/N/KEN/1202/Add.3, G/TBT/N/RWA/597/Add.3, G/TBT/N/TZA/697/Add.3, G/TBT/N/UGA/1537/Add.3</v>
      </c>
      <c r="D781" s="8" t="s">
        <v>3262</v>
      </c>
      <c r="E781" s="8" t="s">
        <v>3263</v>
      </c>
      <c r="F781" s="8" t="s">
        <v>3264</v>
      </c>
      <c r="G781" s="8" t="s">
        <v>3259</v>
      </c>
      <c r="H781" s="8" t="s">
        <v>3260</v>
      </c>
      <c r="I781" s="8" t="s">
        <v>3261</v>
      </c>
      <c r="J781" s="8" t="s">
        <v>43</v>
      </c>
      <c r="K781" s="8" t="s">
        <v>43</v>
      </c>
      <c r="L781" s="6"/>
      <c r="M781" s="7" t="s">
        <v>43</v>
      </c>
      <c r="N781" s="7"/>
      <c r="O781" s="7"/>
      <c r="P781" s="6" t="s">
        <v>44</v>
      </c>
      <c r="Q781" s="6"/>
      <c r="R781" t="str">
        <f>HYPERLINK("https://docs.wto.org/imrd/directdoc.asp?DDFDocuments/t/G/TBTN22/BDI206A3.docx", "https://docs.wto.org/imrd/directdoc.asp?DDFDocuments/t/G/TBTN22/BDI206A3.docx")</f>
        <v>https://docs.wto.org/imrd/directdoc.asp?DDFDocuments/t/G/TBTN22/BDI206A3.docx</v>
      </c>
      <c r="S781" t="str">
        <f>HYPERLINK("https://docs.wto.org/imrd/directdoc.asp?DDFDocuments/u/G/TBTN22/BDI206A3.docx", "https://docs.wto.org/imrd/directdoc.asp?DDFDocuments/u/G/TBTN22/BDI206A3.docx")</f>
        <v>https://docs.wto.org/imrd/directdoc.asp?DDFDocuments/u/G/TBTN22/BDI206A3.docx</v>
      </c>
      <c r="T781" t="str">
        <f>HYPERLINK("https://docs.wto.org/imrd/directdoc.asp?DDFDocuments/v/G/TBTN22/BDI206A3.docx", "https://docs.wto.org/imrd/directdoc.asp?DDFDocuments/v/G/TBTN22/BDI206A3.docx")</f>
        <v>https://docs.wto.org/imrd/directdoc.asp?DDFDocuments/v/G/TBTN22/BDI206A3.docx</v>
      </c>
      <c r="U781" t="s">
        <v>64</v>
      </c>
      <c r="V781" t="s">
        <v>46</v>
      </c>
      <c r="W781" t="s">
        <v>64</v>
      </c>
      <c r="X781" t="s">
        <v>46</v>
      </c>
      <c r="Y781" t="s">
        <v>46</v>
      </c>
      <c r="Z781" t="s">
        <v>46</v>
      </c>
      <c r="AA781" t="s">
        <v>46</v>
      </c>
      <c r="AB781" s="2" t="s">
        <v>43</v>
      </c>
      <c r="AC781" t="s">
        <v>43</v>
      </c>
      <c r="AD781" t="s">
        <v>43</v>
      </c>
      <c r="AE781" t="s">
        <v>43</v>
      </c>
      <c r="AF781" t="s">
        <v>43</v>
      </c>
      <c r="AG781" t="s">
        <v>43</v>
      </c>
      <c r="AH781" s="2" t="s">
        <v>43</v>
      </c>
    </row>
    <row r="782" spans="1:34" ht="90">
      <c r="A782" s="6" t="s">
        <v>577</v>
      </c>
      <c r="B782" s="7">
        <v>46057</v>
      </c>
      <c r="C782" s="9" t="str">
        <f>HYPERLINK("https://eping.wto.org/en/Search?viewData= G/TBT/N/BDI/276/Add.3, G/TBT/N/KEN/1310/Add.3, G/TBT/N/RWA/710/Add.3, G/TBT/N/TZA/829/Add.3, G/TBT/N/UGA/1684/Add.3"," G/TBT/N/BDI/276/Add.3, G/TBT/N/KEN/1310/Add.3, G/TBT/N/RWA/710/Add.3, G/TBT/N/TZA/829/Add.3, G/TBT/N/UGA/1684/Add.3")</f>
        <v xml:space="preserve"> G/TBT/N/BDI/276/Add.3, G/TBT/N/KEN/1310/Add.3, G/TBT/N/RWA/710/Add.3, G/TBT/N/TZA/829/Add.3, G/TBT/N/UGA/1684/Add.3</v>
      </c>
      <c r="D782" s="8" t="s">
        <v>3265</v>
      </c>
      <c r="E782" s="8" t="s">
        <v>3266</v>
      </c>
      <c r="F782" s="8" t="s">
        <v>3267</v>
      </c>
      <c r="G782" s="8" t="s">
        <v>3268</v>
      </c>
      <c r="H782" s="8" t="s">
        <v>3269</v>
      </c>
      <c r="I782" s="8" t="s">
        <v>2827</v>
      </c>
      <c r="J782" s="8" t="s">
        <v>43</v>
      </c>
      <c r="K782" s="8" t="s">
        <v>43</v>
      </c>
      <c r="L782" s="6"/>
      <c r="M782" s="7" t="s">
        <v>43</v>
      </c>
      <c r="N782" s="7"/>
      <c r="O782" s="7"/>
      <c r="P782" s="6" t="s">
        <v>44</v>
      </c>
      <c r="Q782" s="6"/>
      <c r="R782" t="str">
        <f>HYPERLINK("https://docs.wto.org/imrd/directdoc.asp?DDFDocuments/t/G/TBTN22/BDI276A3.docx", "https://docs.wto.org/imrd/directdoc.asp?DDFDocuments/t/G/TBTN22/BDI276A3.docx")</f>
        <v>https://docs.wto.org/imrd/directdoc.asp?DDFDocuments/t/G/TBTN22/BDI276A3.docx</v>
      </c>
      <c r="S782" t="str">
        <f>HYPERLINK("https://docs.wto.org/imrd/directdoc.asp?DDFDocuments/u/G/TBTN22/BDI276A3.docx", "https://docs.wto.org/imrd/directdoc.asp?DDFDocuments/u/G/TBTN22/BDI276A3.docx")</f>
        <v>https://docs.wto.org/imrd/directdoc.asp?DDFDocuments/u/G/TBTN22/BDI276A3.docx</v>
      </c>
      <c r="T782" t="str">
        <f>HYPERLINK("https://docs.wto.org/imrd/directdoc.asp?DDFDocuments/v/G/TBTN22/BDI276A3.docx", "https://docs.wto.org/imrd/directdoc.asp?DDFDocuments/v/G/TBTN22/BDI276A3.docx")</f>
        <v>https://docs.wto.org/imrd/directdoc.asp?DDFDocuments/v/G/TBTN22/BDI276A3.docx</v>
      </c>
      <c r="U782" t="s">
        <v>64</v>
      </c>
      <c r="V782" t="s">
        <v>46</v>
      </c>
      <c r="W782" t="s">
        <v>64</v>
      </c>
      <c r="X782" t="s">
        <v>46</v>
      </c>
      <c r="Y782" t="s">
        <v>46</v>
      </c>
      <c r="Z782" t="s">
        <v>46</v>
      </c>
      <c r="AA782" t="s">
        <v>46</v>
      </c>
      <c r="AB782" s="2" t="s">
        <v>43</v>
      </c>
      <c r="AC782" t="s">
        <v>43</v>
      </c>
      <c r="AD782" t="s">
        <v>43</v>
      </c>
      <c r="AE782" t="s">
        <v>43</v>
      </c>
      <c r="AF782" t="s">
        <v>43</v>
      </c>
      <c r="AG782" t="s">
        <v>43</v>
      </c>
      <c r="AH782" s="2" t="s">
        <v>43</v>
      </c>
    </row>
    <row r="783" spans="1:34" ht="90">
      <c r="A783" s="6" t="s">
        <v>509</v>
      </c>
      <c r="B783" s="7">
        <v>46057</v>
      </c>
      <c r="C783" s="9" t="str">
        <f>HYPERLINK("https://eping.wto.org/en/Search?viewData= G/TBT/N/BDI/276/Add.3, G/TBT/N/KEN/1310/Add.3, G/TBT/N/RWA/710/Add.3, G/TBT/N/TZA/829/Add.3, G/TBT/N/UGA/1684/Add.3"," G/TBT/N/BDI/276/Add.3, G/TBT/N/KEN/1310/Add.3, G/TBT/N/RWA/710/Add.3, G/TBT/N/TZA/829/Add.3, G/TBT/N/UGA/1684/Add.3")</f>
        <v xml:space="preserve"> G/TBT/N/BDI/276/Add.3, G/TBT/N/KEN/1310/Add.3, G/TBT/N/RWA/710/Add.3, G/TBT/N/TZA/829/Add.3, G/TBT/N/UGA/1684/Add.3</v>
      </c>
      <c r="D783" s="8" t="s">
        <v>3265</v>
      </c>
      <c r="E783" s="8" t="s">
        <v>3266</v>
      </c>
      <c r="F783" s="8" t="s">
        <v>3267</v>
      </c>
      <c r="G783" s="8" t="s">
        <v>3268</v>
      </c>
      <c r="H783" s="8" t="s">
        <v>3269</v>
      </c>
      <c r="I783" s="8" t="s">
        <v>2827</v>
      </c>
      <c r="J783" s="8" t="s">
        <v>43</v>
      </c>
      <c r="K783" s="8" t="s">
        <v>43</v>
      </c>
      <c r="L783" s="6"/>
      <c r="M783" s="7" t="s">
        <v>43</v>
      </c>
      <c r="N783" s="7"/>
      <c r="O783" s="7"/>
      <c r="P783" s="6" t="s">
        <v>44</v>
      </c>
      <c r="Q783" s="6"/>
      <c r="R783" t="str">
        <f>HYPERLINK("https://docs.wto.org/imrd/directdoc.asp?DDFDocuments/t/G/TBTN22/BDI276A3.docx", "https://docs.wto.org/imrd/directdoc.asp?DDFDocuments/t/G/TBTN22/BDI276A3.docx")</f>
        <v>https://docs.wto.org/imrd/directdoc.asp?DDFDocuments/t/G/TBTN22/BDI276A3.docx</v>
      </c>
      <c r="S783" t="str">
        <f>HYPERLINK("https://docs.wto.org/imrd/directdoc.asp?DDFDocuments/u/G/TBTN22/BDI276A3.docx", "https://docs.wto.org/imrd/directdoc.asp?DDFDocuments/u/G/TBTN22/BDI276A3.docx")</f>
        <v>https://docs.wto.org/imrd/directdoc.asp?DDFDocuments/u/G/TBTN22/BDI276A3.docx</v>
      </c>
      <c r="T783" t="str">
        <f>HYPERLINK("https://docs.wto.org/imrd/directdoc.asp?DDFDocuments/v/G/TBTN22/BDI276A3.docx", "https://docs.wto.org/imrd/directdoc.asp?DDFDocuments/v/G/TBTN22/BDI276A3.docx")</f>
        <v>https://docs.wto.org/imrd/directdoc.asp?DDFDocuments/v/G/TBTN22/BDI276A3.docx</v>
      </c>
      <c r="U783" t="s">
        <v>64</v>
      </c>
      <c r="V783" t="s">
        <v>46</v>
      </c>
      <c r="W783" t="s">
        <v>64</v>
      </c>
      <c r="X783" t="s">
        <v>46</v>
      </c>
      <c r="Y783" t="s">
        <v>46</v>
      </c>
      <c r="Z783" t="s">
        <v>46</v>
      </c>
      <c r="AA783" t="s">
        <v>46</v>
      </c>
      <c r="AB783" s="2" t="s">
        <v>43</v>
      </c>
      <c r="AC783" t="s">
        <v>43</v>
      </c>
      <c r="AD783" t="s">
        <v>43</v>
      </c>
      <c r="AE783" t="s">
        <v>43</v>
      </c>
      <c r="AF783" t="s">
        <v>43</v>
      </c>
      <c r="AG783" t="s">
        <v>43</v>
      </c>
      <c r="AH783" s="2" t="s">
        <v>43</v>
      </c>
    </row>
    <row r="784" spans="1:34" ht="75">
      <c r="A784" s="6" t="s">
        <v>289</v>
      </c>
      <c r="B784" s="7">
        <v>46057</v>
      </c>
      <c r="C784" s="9" t="str">
        <f>HYPERLINK("https://eping.wto.org/en/Search?viewData= G/SPS/N/BRA/2470"," G/SPS/N/BRA/2470")</f>
        <v xml:space="preserve"> G/SPS/N/BRA/2470</v>
      </c>
      <c r="D784" s="8" t="s">
        <v>3270</v>
      </c>
      <c r="E784" s="8" t="s">
        <v>3271</v>
      </c>
      <c r="F784" s="8" t="s">
        <v>1515</v>
      </c>
      <c r="G784" s="8" t="s">
        <v>43</v>
      </c>
      <c r="H784" s="8" t="s">
        <v>1516</v>
      </c>
      <c r="I784" s="8" t="s">
        <v>58</v>
      </c>
      <c r="J784" s="8" t="s">
        <v>43</v>
      </c>
      <c r="K784" s="8" t="s">
        <v>2405</v>
      </c>
      <c r="L784" s="6"/>
      <c r="M784" s="7">
        <v>46117</v>
      </c>
      <c r="N784" s="7" t="s">
        <v>1517</v>
      </c>
      <c r="O784" s="7" t="s">
        <v>1517</v>
      </c>
      <c r="P784" s="6" t="s">
        <v>62</v>
      </c>
      <c r="Q784" s="8" t="s">
        <v>3272</v>
      </c>
      <c r="R784" t="str">
        <f>HYPERLINK("https://docs.wto.org/imrd/directdoc.asp?DDFDocuments/t/G/SPS/NBRA2470.docx", "https://docs.wto.org/imrd/directdoc.asp?DDFDocuments/t/G/SPS/NBRA2470.docx")</f>
        <v>https://docs.wto.org/imrd/directdoc.asp?DDFDocuments/t/G/SPS/NBRA2470.docx</v>
      </c>
      <c r="S784" t="str">
        <f>HYPERLINK("https://docs.wto.org/imrd/directdoc.asp?DDFDocuments/u/G/SPS/NBRA2470.docx", "https://docs.wto.org/imrd/directdoc.asp?DDFDocuments/u/G/SPS/NBRA2470.docx")</f>
        <v>https://docs.wto.org/imrd/directdoc.asp?DDFDocuments/u/G/SPS/NBRA2470.docx</v>
      </c>
      <c r="T784" t="str">
        <f>HYPERLINK("https://docs.wto.org/imrd/directdoc.asp?DDFDocuments/v/G/SPS/NBRA2470.docx", "https://docs.wto.org/imrd/directdoc.asp?DDFDocuments/v/G/SPS/NBRA2470.docx")</f>
        <v>https://docs.wto.org/imrd/directdoc.asp?DDFDocuments/v/G/SPS/NBRA2470.docx</v>
      </c>
      <c r="U784" t="s">
        <v>43</v>
      </c>
      <c r="V784" t="s">
        <v>43</v>
      </c>
      <c r="W784" t="s">
        <v>43</v>
      </c>
      <c r="X784" t="s">
        <v>43</v>
      </c>
      <c r="Y784" t="s">
        <v>43</v>
      </c>
      <c r="Z784" t="s">
        <v>43</v>
      </c>
      <c r="AA784" t="s">
        <v>43</v>
      </c>
      <c r="AB784" s="2" t="s">
        <v>43</v>
      </c>
      <c r="AC784" t="s">
        <v>46</v>
      </c>
      <c r="AD784" t="s">
        <v>46</v>
      </c>
      <c r="AE784" t="s">
        <v>46</v>
      </c>
      <c r="AF784" t="s">
        <v>64</v>
      </c>
      <c r="AG784" t="s">
        <v>99</v>
      </c>
      <c r="AH784" s="2" t="s">
        <v>43</v>
      </c>
    </row>
    <row r="785" spans="1:34" ht="60">
      <c r="A785" s="6" t="s">
        <v>390</v>
      </c>
      <c r="B785" s="7">
        <v>46057</v>
      </c>
      <c r="C785" s="9" t="str">
        <f>HYPERLINK("https://eping.wto.org/en/Search?viewData= G/TBT/N/BDI/205/Add.3, G/TBT/N/KEN/1201/Add.3, G/TBT/N/RWA/596/Add.3, G/TBT/N/TZA/696/Add.3, G/TBT/N/UGA/1536/Add.3"," G/TBT/N/BDI/205/Add.3, G/TBT/N/KEN/1201/Add.3, G/TBT/N/RWA/596/Add.3, G/TBT/N/TZA/696/Add.3, G/TBT/N/UGA/1536/Add.3")</f>
        <v xml:space="preserve"> G/TBT/N/BDI/205/Add.3, G/TBT/N/KEN/1201/Add.3, G/TBT/N/RWA/596/Add.3, G/TBT/N/TZA/696/Add.3, G/TBT/N/UGA/1536/Add.3</v>
      </c>
      <c r="D785" s="8" t="s">
        <v>3273</v>
      </c>
      <c r="E785" s="8" t="s">
        <v>3274</v>
      </c>
      <c r="F785" s="8" t="s">
        <v>3275</v>
      </c>
      <c r="G785" s="8" t="s">
        <v>3259</v>
      </c>
      <c r="H785" s="8" t="s">
        <v>3260</v>
      </c>
      <c r="I785" s="8" t="s">
        <v>1035</v>
      </c>
      <c r="J785" s="8" t="s">
        <v>43</v>
      </c>
      <c r="K785" s="8" t="s">
        <v>350</v>
      </c>
      <c r="L785" s="6"/>
      <c r="M785" s="7" t="s">
        <v>43</v>
      </c>
      <c r="N785" s="7"/>
      <c r="O785" s="7"/>
      <c r="P785" s="6" t="s">
        <v>44</v>
      </c>
      <c r="Q785" s="6"/>
      <c r="R785" t="str">
        <f>HYPERLINK("https://docs.wto.org/imrd/directdoc.asp?DDFDocuments/t/G/TBTN22/BDI205A3.docx", "https://docs.wto.org/imrd/directdoc.asp?DDFDocuments/t/G/TBTN22/BDI205A3.docx")</f>
        <v>https://docs.wto.org/imrd/directdoc.asp?DDFDocuments/t/G/TBTN22/BDI205A3.docx</v>
      </c>
      <c r="S785" t="str">
        <f>HYPERLINK("https://docs.wto.org/imrd/directdoc.asp?DDFDocuments/u/G/TBTN22/BDI205A3.docx", "https://docs.wto.org/imrd/directdoc.asp?DDFDocuments/u/G/TBTN22/BDI205A3.docx")</f>
        <v>https://docs.wto.org/imrd/directdoc.asp?DDFDocuments/u/G/TBTN22/BDI205A3.docx</v>
      </c>
      <c r="T785" t="str">
        <f>HYPERLINK("https://docs.wto.org/imrd/directdoc.asp?DDFDocuments/v/G/TBTN22/BDI205A3.docx", "https://docs.wto.org/imrd/directdoc.asp?DDFDocuments/v/G/TBTN22/BDI205A3.docx")</f>
        <v>https://docs.wto.org/imrd/directdoc.asp?DDFDocuments/v/G/TBTN22/BDI205A3.docx</v>
      </c>
      <c r="U785" t="s">
        <v>64</v>
      </c>
      <c r="V785" t="s">
        <v>46</v>
      </c>
      <c r="W785" t="s">
        <v>64</v>
      </c>
      <c r="X785" t="s">
        <v>46</v>
      </c>
      <c r="Y785" t="s">
        <v>46</v>
      </c>
      <c r="Z785" t="s">
        <v>46</v>
      </c>
      <c r="AA785" t="s">
        <v>46</v>
      </c>
      <c r="AB785" s="2" t="s">
        <v>43</v>
      </c>
      <c r="AC785" t="s">
        <v>43</v>
      </c>
      <c r="AD785" t="s">
        <v>43</v>
      </c>
      <c r="AE785" t="s">
        <v>43</v>
      </c>
      <c r="AF785" t="s">
        <v>43</v>
      </c>
      <c r="AG785" t="s">
        <v>43</v>
      </c>
      <c r="AH785" s="2" t="s">
        <v>43</v>
      </c>
    </row>
    <row r="786" spans="1:34" ht="90">
      <c r="A786" s="6" t="s">
        <v>509</v>
      </c>
      <c r="B786" s="7">
        <v>46057</v>
      </c>
      <c r="C786" s="9" t="str">
        <f>HYPERLINK("https://eping.wto.org/en/Search?viewData= G/TBT/N/BDI/203/Add.3, G/TBT/N/KEN/1199/Add.3, G/TBT/N/RWA/594/Add.3, G/TBT/N/TZA/694/Add.3, G/TBT/N/UGA/1534/Add.3"," G/TBT/N/BDI/203/Add.3, G/TBT/N/KEN/1199/Add.3, G/TBT/N/RWA/594/Add.3, G/TBT/N/TZA/694/Add.3, G/TBT/N/UGA/1534/Add.3")</f>
        <v xml:space="preserve"> G/TBT/N/BDI/203/Add.3, G/TBT/N/KEN/1199/Add.3, G/TBT/N/RWA/594/Add.3, G/TBT/N/TZA/694/Add.3, G/TBT/N/UGA/1534/Add.3</v>
      </c>
      <c r="D786" s="8" t="s">
        <v>3276</v>
      </c>
      <c r="E786" s="8" t="s">
        <v>3277</v>
      </c>
      <c r="F786" s="8" t="s">
        <v>3278</v>
      </c>
      <c r="G786" s="8" t="s">
        <v>3279</v>
      </c>
      <c r="H786" s="8" t="s">
        <v>3260</v>
      </c>
      <c r="I786" s="8" t="s">
        <v>3261</v>
      </c>
      <c r="J786" s="8" t="s">
        <v>43</v>
      </c>
      <c r="K786" s="8" t="s">
        <v>350</v>
      </c>
      <c r="L786" s="6"/>
      <c r="M786" s="7" t="s">
        <v>43</v>
      </c>
      <c r="N786" s="7"/>
      <c r="O786" s="7"/>
      <c r="P786" s="6" t="s">
        <v>44</v>
      </c>
      <c r="Q786" s="6"/>
      <c r="R786" t="str">
        <f>HYPERLINK("https://docs.wto.org/imrd/directdoc.asp?DDFDocuments/t/G/TBTN22/BDI203A3.docx", "https://docs.wto.org/imrd/directdoc.asp?DDFDocuments/t/G/TBTN22/BDI203A3.docx")</f>
        <v>https://docs.wto.org/imrd/directdoc.asp?DDFDocuments/t/G/TBTN22/BDI203A3.docx</v>
      </c>
      <c r="S786" t="str">
        <f>HYPERLINK("https://docs.wto.org/imrd/directdoc.asp?DDFDocuments/u/G/TBTN22/BDI203A3.docx", "https://docs.wto.org/imrd/directdoc.asp?DDFDocuments/u/G/TBTN22/BDI203A3.docx")</f>
        <v>https://docs.wto.org/imrd/directdoc.asp?DDFDocuments/u/G/TBTN22/BDI203A3.docx</v>
      </c>
      <c r="T786" t="str">
        <f>HYPERLINK("https://docs.wto.org/imrd/directdoc.asp?DDFDocuments/v/G/TBTN22/BDI203A3.docx", "https://docs.wto.org/imrd/directdoc.asp?DDFDocuments/v/G/TBTN22/BDI203A3.docx")</f>
        <v>https://docs.wto.org/imrd/directdoc.asp?DDFDocuments/v/G/TBTN22/BDI203A3.docx</v>
      </c>
      <c r="U786" t="s">
        <v>64</v>
      </c>
      <c r="V786" t="s">
        <v>46</v>
      </c>
      <c r="W786" t="s">
        <v>64</v>
      </c>
      <c r="X786" t="s">
        <v>46</v>
      </c>
      <c r="Y786" t="s">
        <v>46</v>
      </c>
      <c r="Z786" t="s">
        <v>46</v>
      </c>
      <c r="AA786" t="s">
        <v>46</v>
      </c>
      <c r="AB786" s="2" t="s">
        <v>43</v>
      </c>
      <c r="AC786" t="s">
        <v>43</v>
      </c>
      <c r="AD786" t="s">
        <v>43</v>
      </c>
      <c r="AE786" t="s">
        <v>43</v>
      </c>
      <c r="AF786" t="s">
        <v>43</v>
      </c>
      <c r="AG786" t="s">
        <v>43</v>
      </c>
      <c r="AH786" s="2" t="s">
        <v>43</v>
      </c>
    </row>
    <row r="787" spans="1:34" ht="60">
      <c r="A787" s="6" t="s">
        <v>577</v>
      </c>
      <c r="B787" s="7">
        <v>46057</v>
      </c>
      <c r="C787" s="9" t="str">
        <f>HYPERLINK("https://eping.wto.org/en/Search?viewData= G/TBT/N/BDI/240/Add.3, G/TBT/N/KEN/1259/Add.3, G/TBT/N/RWA/670/Add.3, G/TBT/N/TZA/780/Add.3, G/TBT/N/UGA/1593/Add.3"," G/TBT/N/BDI/240/Add.3, G/TBT/N/KEN/1259/Add.3, G/TBT/N/RWA/670/Add.3, G/TBT/N/TZA/780/Add.3, G/TBT/N/UGA/1593/Add.3")</f>
        <v xml:space="preserve"> G/TBT/N/BDI/240/Add.3, G/TBT/N/KEN/1259/Add.3, G/TBT/N/RWA/670/Add.3, G/TBT/N/TZA/780/Add.3, G/TBT/N/UGA/1593/Add.3</v>
      </c>
      <c r="D787" s="8" t="s">
        <v>3280</v>
      </c>
      <c r="E787" s="8" t="s">
        <v>3281</v>
      </c>
      <c r="F787" s="8" t="s">
        <v>3077</v>
      </c>
      <c r="G787" s="8" t="s">
        <v>3078</v>
      </c>
      <c r="H787" s="8" t="s">
        <v>1959</v>
      </c>
      <c r="I787" s="8" t="s">
        <v>3282</v>
      </c>
      <c r="J787" s="8"/>
      <c r="K787" s="8" t="s">
        <v>3080</v>
      </c>
      <c r="L787" s="6"/>
      <c r="M787" s="7" t="s">
        <v>43</v>
      </c>
      <c r="N787" s="7"/>
      <c r="O787" s="7"/>
      <c r="P787" s="6" t="s">
        <v>44</v>
      </c>
      <c r="Q787" s="6"/>
      <c r="R787" t="str">
        <f>HYPERLINK("https://docs.wto.org/imrd/directdoc.asp?DDFDocuments/t/G/TBTN22/BDI240A3.docx", "https://docs.wto.org/imrd/directdoc.asp?DDFDocuments/t/G/TBTN22/BDI240A3.docx")</f>
        <v>https://docs.wto.org/imrd/directdoc.asp?DDFDocuments/t/G/TBTN22/BDI240A3.docx</v>
      </c>
      <c r="S787" t="str">
        <f>HYPERLINK("https://docs.wto.org/imrd/directdoc.asp?DDFDocuments/u/G/TBTN22/BDI240A3.docx", "https://docs.wto.org/imrd/directdoc.asp?DDFDocuments/u/G/TBTN22/BDI240A3.docx")</f>
        <v>https://docs.wto.org/imrd/directdoc.asp?DDFDocuments/u/G/TBTN22/BDI240A3.docx</v>
      </c>
      <c r="T787" t="str">
        <f>HYPERLINK("https://docs.wto.org/imrd/directdoc.asp?DDFDocuments/v/G/TBTN22/BDI240A3.docx", "https://docs.wto.org/imrd/directdoc.asp?DDFDocuments/v/G/TBTN22/BDI240A3.docx")</f>
        <v>https://docs.wto.org/imrd/directdoc.asp?DDFDocuments/v/G/TBTN22/BDI240A3.docx</v>
      </c>
      <c r="U787" t="s">
        <v>64</v>
      </c>
      <c r="V787" t="s">
        <v>46</v>
      </c>
      <c r="W787" t="s">
        <v>46</v>
      </c>
      <c r="X787" t="s">
        <v>46</v>
      </c>
      <c r="Y787" t="s">
        <v>46</v>
      </c>
      <c r="Z787" t="s">
        <v>46</v>
      </c>
      <c r="AA787" t="s">
        <v>46</v>
      </c>
      <c r="AB787" s="2" t="s">
        <v>43</v>
      </c>
      <c r="AC787" t="s">
        <v>43</v>
      </c>
      <c r="AD787" t="s">
        <v>43</v>
      </c>
      <c r="AE787" t="s">
        <v>43</v>
      </c>
      <c r="AF787" t="s">
        <v>43</v>
      </c>
      <c r="AG787" t="s">
        <v>43</v>
      </c>
      <c r="AH787" s="2" t="s">
        <v>43</v>
      </c>
    </row>
    <row r="788" spans="1:34" ht="60">
      <c r="A788" s="6" t="s">
        <v>509</v>
      </c>
      <c r="B788" s="7">
        <v>46057</v>
      </c>
      <c r="C788" s="9" t="str">
        <f>HYPERLINK("https://eping.wto.org/en/Search?viewData= G/TBT/N/BDI/240/Add.3, G/TBT/N/KEN/1259/Add.3, G/TBT/N/RWA/670/Add.3, G/TBT/N/TZA/780/Add.3, G/TBT/N/UGA/1593/Add.3"," G/TBT/N/BDI/240/Add.3, G/TBT/N/KEN/1259/Add.3, G/TBT/N/RWA/670/Add.3, G/TBT/N/TZA/780/Add.3, G/TBT/N/UGA/1593/Add.3")</f>
        <v xml:space="preserve"> G/TBT/N/BDI/240/Add.3, G/TBT/N/KEN/1259/Add.3, G/TBT/N/RWA/670/Add.3, G/TBT/N/TZA/780/Add.3, G/TBT/N/UGA/1593/Add.3</v>
      </c>
      <c r="D788" s="8" t="s">
        <v>3280</v>
      </c>
      <c r="E788" s="8" t="s">
        <v>3281</v>
      </c>
      <c r="F788" s="8" t="s">
        <v>3077</v>
      </c>
      <c r="G788" s="8" t="s">
        <v>3078</v>
      </c>
      <c r="H788" s="8" t="s">
        <v>1959</v>
      </c>
      <c r="I788" s="8" t="s">
        <v>3282</v>
      </c>
      <c r="J788" s="8"/>
      <c r="K788" s="8" t="s">
        <v>3080</v>
      </c>
      <c r="L788" s="6"/>
      <c r="M788" s="7" t="s">
        <v>43</v>
      </c>
      <c r="N788" s="7"/>
      <c r="O788" s="7"/>
      <c r="P788" s="6" t="s">
        <v>44</v>
      </c>
      <c r="Q788" s="6"/>
      <c r="R788" t="str">
        <f>HYPERLINK("https://docs.wto.org/imrd/directdoc.asp?DDFDocuments/t/G/TBTN22/BDI240A3.docx", "https://docs.wto.org/imrd/directdoc.asp?DDFDocuments/t/G/TBTN22/BDI240A3.docx")</f>
        <v>https://docs.wto.org/imrd/directdoc.asp?DDFDocuments/t/G/TBTN22/BDI240A3.docx</v>
      </c>
      <c r="S788" t="str">
        <f>HYPERLINK("https://docs.wto.org/imrd/directdoc.asp?DDFDocuments/u/G/TBTN22/BDI240A3.docx", "https://docs.wto.org/imrd/directdoc.asp?DDFDocuments/u/G/TBTN22/BDI240A3.docx")</f>
        <v>https://docs.wto.org/imrd/directdoc.asp?DDFDocuments/u/G/TBTN22/BDI240A3.docx</v>
      </c>
      <c r="T788" t="str">
        <f>HYPERLINK("https://docs.wto.org/imrd/directdoc.asp?DDFDocuments/v/G/TBTN22/BDI240A3.docx", "https://docs.wto.org/imrd/directdoc.asp?DDFDocuments/v/G/TBTN22/BDI240A3.docx")</f>
        <v>https://docs.wto.org/imrd/directdoc.asp?DDFDocuments/v/G/TBTN22/BDI240A3.docx</v>
      </c>
      <c r="U788" t="s">
        <v>64</v>
      </c>
      <c r="V788" t="s">
        <v>46</v>
      </c>
      <c r="W788" t="s">
        <v>46</v>
      </c>
      <c r="X788" t="s">
        <v>46</v>
      </c>
      <c r="Y788" t="s">
        <v>46</v>
      </c>
      <c r="Z788" t="s">
        <v>46</v>
      </c>
      <c r="AA788" t="s">
        <v>46</v>
      </c>
      <c r="AB788" s="2" t="s">
        <v>43</v>
      </c>
      <c r="AC788" t="s">
        <v>43</v>
      </c>
      <c r="AD788" t="s">
        <v>43</v>
      </c>
      <c r="AE788" t="s">
        <v>43</v>
      </c>
      <c r="AF788" t="s">
        <v>43</v>
      </c>
      <c r="AG788" t="s">
        <v>43</v>
      </c>
      <c r="AH788" s="2" t="s">
        <v>43</v>
      </c>
    </row>
    <row r="789" spans="1:34" ht="60">
      <c r="A789" s="6" t="s">
        <v>146</v>
      </c>
      <c r="B789" s="7">
        <v>46057</v>
      </c>
      <c r="C789" s="9" t="str">
        <f>HYPERLINK("https://eping.wto.org/en/Search?viewData= G/SPS/N/CHL/874"," G/SPS/N/CHL/874")</f>
        <v xml:space="preserve"> G/SPS/N/CHL/874</v>
      </c>
      <c r="D789" s="8" t="s">
        <v>3283</v>
      </c>
      <c r="E789" s="8" t="s">
        <v>3284</v>
      </c>
      <c r="F789" s="8" t="s">
        <v>3285</v>
      </c>
      <c r="G789" s="8" t="s">
        <v>43</v>
      </c>
      <c r="H789" s="8" t="s">
        <v>43</v>
      </c>
      <c r="I789" s="8" t="s">
        <v>254</v>
      </c>
      <c r="J789" s="8" t="s">
        <v>43</v>
      </c>
      <c r="K789" s="8" t="s">
        <v>255</v>
      </c>
      <c r="L789" s="6" t="s">
        <v>43</v>
      </c>
      <c r="M789" s="7">
        <v>46117</v>
      </c>
      <c r="N789" s="7" t="s">
        <v>3219</v>
      </c>
      <c r="O789" s="7" t="s">
        <v>3286</v>
      </c>
      <c r="P789" s="6" t="s">
        <v>62</v>
      </c>
      <c r="Q789" s="8" t="s">
        <v>3287</v>
      </c>
      <c r="R789" t="str">
        <f>HYPERLINK("https://docs.wto.org/imrd/directdoc.asp?DDFDocuments/t/G/SPS/NCHL874.docx", "https://docs.wto.org/imrd/directdoc.asp?DDFDocuments/t/G/SPS/NCHL874.docx")</f>
        <v>https://docs.wto.org/imrd/directdoc.asp?DDFDocuments/t/G/SPS/NCHL874.docx</v>
      </c>
      <c r="S789" t="str">
        <f>HYPERLINK("https://docs.wto.org/imrd/directdoc.asp?DDFDocuments/u/G/SPS/NCHL874.docx", "https://docs.wto.org/imrd/directdoc.asp?DDFDocuments/u/G/SPS/NCHL874.docx")</f>
        <v>https://docs.wto.org/imrd/directdoc.asp?DDFDocuments/u/G/SPS/NCHL874.docx</v>
      </c>
      <c r="T789" t="str">
        <f>HYPERLINK("https://docs.wto.org/imrd/directdoc.asp?DDFDocuments/v/G/SPS/NCHL874.docx", "https://docs.wto.org/imrd/directdoc.asp?DDFDocuments/v/G/SPS/NCHL874.docx")</f>
        <v>https://docs.wto.org/imrd/directdoc.asp?DDFDocuments/v/G/SPS/NCHL874.docx</v>
      </c>
      <c r="U789" t="s">
        <v>43</v>
      </c>
      <c r="V789" t="s">
        <v>43</v>
      </c>
      <c r="W789" t="s">
        <v>43</v>
      </c>
      <c r="X789" t="s">
        <v>43</v>
      </c>
      <c r="Y789" t="s">
        <v>43</v>
      </c>
      <c r="Z789" t="s">
        <v>43</v>
      </c>
      <c r="AA789" t="s">
        <v>43</v>
      </c>
      <c r="AB789" s="2" t="s">
        <v>43</v>
      </c>
      <c r="AC789" t="s">
        <v>46</v>
      </c>
      <c r="AD789" t="s">
        <v>46</v>
      </c>
      <c r="AE789" t="s">
        <v>64</v>
      </c>
      <c r="AF789" t="s">
        <v>46</v>
      </c>
      <c r="AG789" t="s">
        <v>64</v>
      </c>
      <c r="AH789" s="2" t="s">
        <v>43</v>
      </c>
    </row>
    <row r="790" spans="1:34" ht="90">
      <c r="A790" s="6" t="s">
        <v>124</v>
      </c>
      <c r="B790" s="7">
        <v>46057</v>
      </c>
      <c r="C790" s="9" t="str">
        <f>HYPERLINK("https://eping.wto.org/en/Search?viewData= G/TBT/N/BDI/258/Add.2, G/TBT/N/KEN/1287/Add.2, G/TBT/N/RWA/693/Add.2, G/TBT/N/TZA/812/Add.2, G/TBT/N/UGA/1663/Add.2"," G/TBT/N/BDI/258/Add.2, G/TBT/N/KEN/1287/Add.2, G/TBT/N/RWA/693/Add.2, G/TBT/N/TZA/812/Add.2, G/TBT/N/UGA/1663/Add.2")</f>
        <v xml:space="preserve"> G/TBT/N/BDI/258/Add.2, G/TBT/N/KEN/1287/Add.2, G/TBT/N/RWA/693/Add.2, G/TBT/N/TZA/812/Add.2, G/TBT/N/UGA/1663/Add.2</v>
      </c>
      <c r="D790" s="8" t="s">
        <v>3288</v>
      </c>
      <c r="E790" s="8" t="s">
        <v>3289</v>
      </c>
      <c r="F790" s="8" t="s">
        <v>3290</v>
      </c>
      <c r="G790" s="8" t="s">
        <v>43</v>
      </c>
      <c r="H790" s="8" t="s">
        <v>3291</v>
      </c>
      <c r="I790" s="8" t="s">
        <v>3292</v>
      </c>
      <c r="J790" s="8" t="s">
        <v>43</v>
      </c>
      <c r="K790" s="8" t="s">
        <v>1029</v>
      </c>
      <c r="L790" s="6"/>
      <c r="M790" s="7" t="s">
        <v>43</v>
      </c>
      <c r="N790" s="7"/>
      <c r="O790" s="7"/>
      <c r="P790" s="6" t="s">
        <v>44</v>
      </c>
      <c r="Q790" s="6"/>
      <c r="R790" t="str">
        <f>HYPERLINK("https://docs.wto.org/imrd/directdoc.asp?DDFDocuments/t/G/TBTN22/BDI258A2.docx", "https://docs.wto.org/imrd/directdoc.asp?DDFDocuments/t/G/TBTN22/BDI258A2.docx")</f>
        <v>https://docs.wto.org/imrd/directdoc.asp?DDFDocuments/t/G/TBTN22/BDI258A2.docx</v>
      </c>
      <c r="S790" t="str">
        <f>HYPERLINK("https://docs.wto.org/imrd/directdoc.asp?DDFDocuments/u/G/TBTN22/BDI258A2.docx", "https://docs.wto.org/imrd/directdoc.asp?DDFDocuments/u/G/TBTN22/BDI258A2.docx")</f>
        <v>https://docs.wto.org/imrd/directdoc.asp?DDFDocuments/u/G/TBTN22/BDI258A2.docx</v>
      </c>
      <c r="T790" t="str">
        <f>HYPERLINK("https://docs.wto.org/imrd/directdoc.asp?DDFDocuments/v/G/TBTN22/BDI258A2.docx", "https://docs.wto.org/imrd/directdoc.asp?DDFDocuments/v/G/TBTN22/BDI258A2.docx")</f>
        <v>https://docs.wto.org/imrd/directdoc.asp?DDFDocuments/v/G/TBTN22/BDI258A2.docx</v>
      </c>
      <c r="U790" t="s">
        <v>64</v>
      </c>
      <c r="V790" t="s">
        <v>46</v>
      </c>
      <c r="W790" t="s">
        <v>46</v>
      </c>
      <c r="X790" t="s">
        <v>46</v>
      </c>
      <c r="Y790" t="s">
        <v>46</v>
      </c>
      <c r="Z790" t="s">
        <v>46</v>
      </c>
      <c r="AA790" t="s">
        <v>46</v>
      </c>
      <c r="AB790" s="2" t="s">
        <v>43</v>
      </c>
      <c r="AC790" t="s">
        <v>43</v>
      </c>
      <c r="AD790" t="s">
        <v>43</v>
      </c>
      <c r="AE790" t="s">
        <v>43</v>
      </c>
      <c r="AF790" t="s">
        <v>43</v>
      </c>
      <c r="AG790" t="s">
        <v>43</v>
      </c>
      <c r="AH790" s="2" t="s">
        <v>43</v>
      </c>
    </row>
    <row r="791" spans="1:34" ht="90">
      <c r="A791" s="6" t="s">
        <v>577</v>
      </c>
      <c r="B791" s="7">
        <v>46057</v>
      </c>
      <c r="C791" s="9" t="str">
        <f>HYPERLINK("https://eping.wto.org/en/Search?viewData= G/TBT/N/BDI/204/Add.2, G/TBT/N/KEN/1200/Add.2, G/TBT/N/RWA/595/Add.2, G/TBT/N/TZA/695/Add.2, G/TBT/N/UGA/1535/Add.2"," G/TBT/N/BDI/204/Add.2, G/TBT/N/KEN/1200/Add.2, G/TBT/N/RWA/595/Add.2, G/TBT/N/TZA/695/Add.2, G/TBT/N/UGA/1535/Add.2")</f>
        <v xml:space="preserve"> G/TBT/N/BDI/204/Add.2, G/TBT/N/KEN/1200/Add.2, G/TBT/N/RWA/595/Add.2, G/TBT/N/TZA/695/Add.2, G/TBT/N/UGA/1535/Add.2</v>
      </c>
      <c r="D791" s="8" t="s">
        <v>3293</v>
      </c>
      <c r="E791" s="8" t="s">
        <v>3294</v>
      </c>
      <c r="F791" s="8" t="s">
        <v>3295</v>
      </c>
      <c r="G791" s="8" t="s">
        <v>3296</v>
      </c>
      <c r="H791" s="8" t="s">
        <v>3260</v>
      </c>
      <c r="I791" s="8" t="s">
        <v>3261</v>
      </c>
      <c r="J791" s="8" t="s">
        <v>43</v>
      </c>
      <c r="K791" s="8" t="s">
        <v>350</v>
      </c>
      <c r="L791" s="6"/>
      <c r="M791" s="7" t="s">
        <v>43</v>
      </c>
      <c r="N791" s="7"/>
      <c r="O791" s="7"/>
      <c r="P791" s="6" t="s">
        <v>44</v>
      </c>
      <c r="Q791" s="6"/>
      <c r="R791" t="str">
        <f>HYPERLINK("https://docs.wto.org/imrd/directdoc.asp?DDFDocuments/t/G/TBTN22/BDI204A2.docx", "https://docs.wto.org/imrd/directdoc.asp?DDFDocuments/t/G/TBTN22/BDI204A2.docx")</f>
        <v>https://docs.wto.org/imrd/directdoc.asp?DDFDocuments/t/G/TBTN22/BDI204A2.docx</v>
      </c>
      <c r="S791" t="str">
        <f>HYPERLINK("https://docs.wto.org/imrd/directdoc.asp?DDFDocuments/u/G/TBTN22/BDI204A2.docx", "https://docs.wto.org/imrd/directdoc.asp?DDFDocuments/u/G/TBTN22/BDI204A2.docx")</f>
        <v>https://docs.wto.org/imrd/directdoc.asp?DDFDocuments/u/G/TBTN22/BDI204A2.docx</v>
      </c>
      <c r="T791" t="str">
        <f>HYPERLINK("https://docs.wto.org/imrd/directdoc.asp?DDFDocuments/v/G/TBTN22/BDI204A2.docx", "https://docs.wto.org/imrd/directdoc.asp?DDFDocuments/v/G/TBTN22/BDI204A2.docx")</f>
        <v>https://docs.wto.org/imrd/directdoc.asp?DDFDocuments/v/G/TBTN22/BDI204A2.docx</v>
      </c>
      <c r="U791" t="s">
        <v>64</v>
      </c>
      <c r="V791" t="s">
        <v>46</v>
      </c>
      <c r="W791" t="s">
        <v>64</v>
      </c>
      <c r="X791" t="s">
        <v>46</v>
      </c>
      <c r="Y791" t="s">
        <v>46</v>
      </c>
      <c r="Z791" t="s">
        <v>46</v>
      </c>
      <c r="AA791" t="s">
        <v>46</v>
      </c>
      <c r="AB791" s="2" t="s">
        <v>43</v>
      </c>
      <c r="AC791" t="s">
        <v>43</v>
      </c>
      <c r="AD791" t="s">
        <v>43</v>
      </c>
      <c r="AE791" t="s">
        <v>43</v>
      </c>
      <c r="AF791" t="s">
        <v>43</v>
      </c>
      <c r="AG791" t="s">
        <v>43</v>
      </c>
      <c r="AH791" s="2" t="s">
        <v>43</v>
      </c>
    </row>
    <row r="792" spans="1:34" ht="90">
      <c r="A792" s="6" t="s">
        <v>108</v>
      </c>
      <c r="B792" s="7">
        <v>46057</v>
      </c>
      <c r="C792" s="9" t="str">
        <f>HYPERLINK("https://eping.wto.org/en/Search?viewData= G/TBT/N/BDI/204/Add.2, G/TBT/N/KEN/1200/Add.2, G/TBT/N/RWA/595/Add.2, G/TBT/N/TZA/695/Add.2, G/TBT/N/UGA/1535/Add.2"," G/TBT/N/BDI/204/Add.2, G/TBT/N/KEN/1200/Add.2, G/TBT/N/RWA/595/Add.2, G/TBT/N/TZA/695/Add.2, G/TBT/N/UGA/1535/Add.2")</f>
        <v xml:space="preserve"> G/TBT/N/BDI/204/Add.2, G/TBT/N/KEN/1200/Add.2, G/TBT/N/RWA/595/Add.2, G/TBT/N/TZA/695/Add.2, G/TBT/N/UGA/1535/Add.2</v>
      </c>
      <c r="D792" s="8" t="s">
        <v>3293</v>
      </c>
      <c r="E792" s="8" t="s">
        <v>3294</v>
      </c>
      <c r="F792" s="8" t="s">
        <v>3295</v>
      </c>
      <c r="G792" s="8" t="s">
        <v>3296</v>
      </c>
      <c r="H792" s="8" t="s">
        <v>3260</v>
      </c>
      <c r="I792" s="8" t="s">
        <v>3261</v>
      </c>
      <c r="J792" s="8" t="s">
        <v>43</v>
      </c>
      <c r="K792" s="8" t="s">
        <v>350</v>
      </c>
      <c r="L792" s="6"/>
      <c r="M792" s="7" t="s">
        <v>43</v>
      </c>
      <c r="N792" s="7"/>
      <c r="O792" s="7"/>
      <c r="P792" s="6" t="s">
        <v>44</v>
      </c>
      <c r="Q792" s="6"/>
      <c r="R792" t="str">
        <f>HYPERLINK("https://docs.wto.org/imrd/directdoc.asp?DDFDocuments/t/G/TBTN22/BDI204A2.docx", "https://docs.wto.org/imrd/directdoc.asp?DDFDocuments/t/G/TBTN22/BDI204A2.docx")</f>
        <v>https://docs.wto.org/imrd/directdoc.asp?DDFDocuments/t/G/TBTN22/BDI204A2.docx</v>
      </c>
      <c r="S792" t="str">
        <f>HYPERLINK("https://docs.wto.org/imrd/directdoc.asp?DDFDocuments/u/G/TBTN22/BDI204A2.docx", "https://docs.wto.org/imrd/directdoc.asp?DDFDocuments/u/G/TBTN22/BDI204A2.docx")</f>
        <v>https://docs.wto.org/imrd/directdoc.asp?DDFDocuments/u/G/TBTN22/BDI204A2.docx</v>
      </c>
      <c r="T792" t="str">
        <f>HYPERLINK("https://docs.wto.org/imrd/directdoc.asp?DDFDocuments/v/G/TBTN22/BDI204A2.docx", "https://docs.wto.org/imrd/directdoc.asp?DDFDocuments/v/G/TBTN22/BDI204A2.docx")</f>
        <v>https://docs.wto.org/imrd/directdoc.asp?DDFDocuments/v/G/TBTN22/BDI204A2.docx</v>
      </c>
      <c r="U792" t="s">
        <v>64</v>
      </c>
      <c r="V792" t="s">
        <v>46</v>
      </c>
      <c r="W792" t="s">
        <v>64</v>
      </c>
      <c r="X792" t="s">
        <v>46</v>
      </c>
      <c r="Y792" t="s">
        <v>46</v>
      </c>
      <c r="Z792" t="s">
        <v>46</v>
      </c>
      <c r="AA792" t="s">
        <v>46</v>
      </c>
      <c r="AB792" s="2" t="s">
        <v>43</v>
      </c>
      <c r="AC792" t="s">
        <v>43</v>
      </c>
      <c r="AD792" t="s">
        <v>43</v>
      </c>
      <c r="AE792" t="s">
        <v>43</v>
      </c>
      <c r="AF792" t="s">
        <v>43</v>
      </c>
      <c r="AG792" t="s">
        <v>43</v>
      </c>
      <c r="AH792" s="2" t="s">
        <v>43</v>
      </c>
    </row>
    <row r="793" spans="1:34" ht="90">
      <c r="A793" s="6" t="s">
        <v>108</v>
      </c>
      <c r="B793" s="7">
        <v>46057</v>
      </c>
      <c r="C793" s="9" t="str">
        <f>HYPERLINK("https://eping.wto.org/en/Search?viewData= G/TBT/N/BDI/205/Add.4, G/TBT/N/KEN/1201/Add.4, G/TBT/N/RWA/596/Add.4, G/TBT/N/TZA/696/Add.4, G/TBT/N/UGA/1536/Add.4"," G/TBT/N/BDI/205/Add.4, G/TBT/N/KEN/1201/Add.4, G/TBT/N/RWA/596/Add.4, G/TBT/N/TZA/696/Add.4, G/TBT/N/UGA/1536/Add.4")</f>
        <v xml:space="preserve"> G/TBT/N/BDI/205/Add.4, G/TBT/N/KEN/1201/Add.4, G/TBT/N/RWA/596/Add.4, G/TBT/N/TZA/696/Add.4, G/TBT/N/UGA/1536/Add.4</v>
      </c>
      <c r="D793" s="8" t="s">
        <v>3273</v>
      </c>
      <c r="E793" s="8" t="s">
        <v>3297</v>
      </c>
      <c r="F793" s="8" t="s">
        <v>3275</v>
      </c>
      <c r="G793" s="8" t="s">
        <v>3259</v>
      </c>
      <c r="H793" s="8" t="s">
        <v>3260</v>
      </c>
      <c r="I793" s="8" t="s">
        <v>3261</v>
      </c>
      <c r="J793" s="8" t="s">
        <v>43</v>
      </c>
      <c r="K793" s="8" t="s">
        <v>350</v>
      </c>
      <c r="L793" s="6"/>
      <c r="M793" s="7" t="s">
        <v>43</v>
      </c>
      <c r="N793" s="7"/>
      <c r="O793" s="7"/>
      <c r="P793" s="6" t="s">
        <v>44</v>
      </c>
      <c r="Q793" s="6"/>
      <c r="R793" t="str">
        <f>HYPERLINK("https://docs.wto.org/imrd/directdoc.asp?DDFDocuments/t/G/TBTN22/BDI205A4.docx", "https://docs.wto.org/imrd/directdoc.asp?DDFDocuments/t/G/TBTN22/BDI205A4.docx")</f>
        <v>https://docs.wto.org/imrd/directdoc.asp?DDFDocuments/t/G/TBTN22/BDI205A4.docx</v>
      </c>
      <c r="S793" t="str">
        <f>HYPERLINK("https://docs.wto.org/imrd/directdoc.asp?DDFDocuments/u/G/TBTN22/BDI205A4.docx", "https://docs.wto.org/imrd/directdoc.asp?DDFDocuments/u/G/TBTN22/BDI205A4.docx")</f>
        <v>https://docs.wto.org/imrd/directdoc.asp?DDFDocuments/u/G/TBTN22/BDI205A4.docx</v>
      </c>
      <c r="T793" t="str">
        <f>HYPERLINK("https://docs.wto.org/imrd/directdoc.asp?DDFDocuments/v/G/TBTN22/BDI205A4.docx", "https://docs.wto.org/imrd/directdoc.asp?DDFDocuments/v/G/TBTN22/BDI205A4.docx")</f>
        <v>https://docs.wto.org/imrd/directdoc.asp?DDFDocuments/v/G/TBTN22/BDI205A4.docx</v>
      </c>
      <c r="U793" t="s">
        <v>64</v>
      </c>
      <c r="V793" t="s">
        <v>46</v>
      </c>
      <c r="W793" t="s">
        <v>64</v>
      </c>
      <c r="X793" t="s">
        <v>46</v>
      </c>
      <c r="Y793" t="s">
        <v>46</v>
      </c>
      <c r="Z793" t="s">
        <v>46</v>
      </c>
      <c r="AA793" t="s">
        <v>46</v>
      </c>
      <c r="AB793" s="2" t="s">
        <v>43</v>
      </c>
      <c r="AC793" t="s">
        <v>43</v>
      </c>
      <c r="AD793" t="s">
        <v>43</v>
      </c>
      <c r="AE793" t="s">
        <v>43</v>
      </c>
      <c r="AF793" t="s">
        <v>43</v>
      </c>
      <c r="AG793" t="s">
        <v>43</v>
      </c>
      <c r="AH793" s="2" t="s">
        <v>43</v>
      </c>
    </row>
    <row r="794" spans="1:34" ht="90">
      <c r="A794" s="6" t="s">
        <v>577</v>
      </c>
      <c r="B794" s="7">
        <v>46057</v>
      </c>
      <c r="C794" s="9" t="str">
        <f>HYPERLINK("https://eping.wto.org/en/Search?viewData= G/TBT/N/BDI/203/Add.3, G/TBT/N/KEN/1199/Add.3, G/TBT/N/RWA/594/Add.3, G/TBT/N/TZA/694/Add.3, G/TBT/N/UGA/1534/Add.3"," G/TBT/N/BDI/203/Add.3, G/TBT/N/KEN/1199/Add.3, G/TBT/N/RWA/594/Add.3, G/TBT/N/TZA/694/Add.3, G/TBT/N/UGA/1534/Add.3")</f>
        <v xml:space="preserve"> G/TBT/N/BDI/203/Add.3, G/TBT/N/KEN/1199/Add.3, G/TBT/N/RWA/594/Add.3, G/TBT/N/TZA/694/Add.3, G/TBT/N/UGA/1534/Add.3</v>
      </c>
      <c r="D794" s="8" t="s">
        <v>3276</v>
      </c>
      <c r="E794" s="8" t="s">
        <v>3277</v>
      </c>
      <c r="F794" s="8" t="s">
        <v>3278</v>
      </c>
      <c r="G794" s="8" t="s">
        <v>3279</v>
      </c>
      <c r="H794" s="8" t="s">
        <v>3260</v>
      </c>
      <c r="I794" s="8" t="s">
        <v>3261</v>
      </c>
      <c r="J794" s="8" t="s">
        <v>43</v>
      </c>
      <c r="K794" s="8" t="s">
        <v>350</v>
      </c>
      <c r="L794" s="6"/>
      <c r="M794" s="7" t="s">
        <v>43</v>
      </c>
      <c r="N794" s="7"/>
      <c r="O794" s="7"/>
      <c r="P794" s="6" t="s">
        <v>44</v>
      </c>
      <c r="Q794" s="6"/>
      <c r="R794" t="str">
        <f>HYPERLINK("https://docs.wto.org/imrd/directdoc.asp?DDFDocuments/t/G/TBTN22/BDI203A3.docx", "https://docs.wto.org/imrd/directdoc.asp?DDFDocuments/t/G/TBTN22/BDI203A3.docx")</f>
        <v>https://docs.wto.org/imrd/directdoc.asp?DDFDocuments/t/G/TBTN22/BDI203A3.docx</v>
      </c>
      <c r="S794" t="str">
        <f>HYPERLINK("https://docs.wto.org/imrd/directdoc.asp?DDFDocuments/u/G/TBTN22/BDI203A3.docx", "https://docs.wto.org/imrd/directdoc.asp?DDFDocuments/u/G/TBTN22/BDI203A3.docx")</f>
        <v>https://docs.wto.org/imrd/directdoc.asp?DDFDocuments/u/G/TBTN22/BDI203A3.docx</v>
      </c>
      <c r="T794" t="str">
        <f>HYPERLINK("https://docs.wto.org/imrd/directdoc.asp?DDFDocuments/v/G/TBTN22/BDI203A3.docx", "https://docs.wto.org/imrd/directdoc.asp?DDFDocuments/v/G/TBTN22/BDI203A3.docx")</f>
        <v>https://docs.wto.org/imrd/directdoc.asp?DDFDocuments/v/G/TBTN22/BDI203A3.docx</v>
      </c>
      <c r="U794" t="s">
        <v>64</v>
      </c>
      <c r="V794" t="s">
        <v>46</v>
      </c>
      <c r="W794" t="s">
        <v>64</v>
      </c>
      <c r="X794" t="s">
        <v>46</v>
      </c>
      <c r="Y794" t="s">
        <v>46</v>
      </c>
      <c r="Z794" t="s">
        <v>46</v>
      </c>
      <c r="AA794" t="s">
        <v>46</v>
      </c>
      <c r="AB794" s="2" t="s">
        <v>43</v>
      </c>
      <c r="AC794" t="s">
        <v>43</v>
      </c>
      <c r="AD794" t="s">
        <v>43</v>
      </c>
      <c r="AE794" t="s">
        <v>43</v>
      </c>
      <c r="AF794" t="s">
        <v>43</v>
      </c>
      <c r="AG794" t="s">
        <v>43</v>
      </c>
      <c r="AH794" s="2" t="s">
        <v>43</v>
      </c>
    </row>
    <row r="795" spans="1:34" ht="90">
      <c r="A795" s="6" t="s">
        <v>124</v>
      </c>
      <c r="B795" s="7">
        <v>46057</v>
      </c>
      <c r="C795" s="9" t="str">
        <f>HYPERLINK("https://eping.wto.org/en/Search?viewData= G/TBT/N/BDI/276/Add.3, G/TBT/N/KEN/1310/Add.3, G/TBT/N/RWA/710/Add.3, G/TBT/N/TZA/829/Add.3, G/TBT/N/UGA/1684/Add.3"," G/TBT/N/BDI/276/Add.3, G/TBT/N/KEN/1310/Add.3, G/TBT/N/RWA/710/Add.3, G/TBT/N/TZA/829/Add.3, G/TBT/N/UGA/1684/Add.3")</f>
        <v xml:space="preserve"> G/TBT/N/BDI/276/Add.3, G/TBT/N/KEN/1310/Add.3, G/TBT/N/RWA/710/Add.3, G/TBT/N/TZA/829/Add.3, G/TBT/N/UGA/1684/Add.3</v>
      </c>
      <c r="D795" s="8" t="s">
        <v>3265</v>
      </c>
      <c r="E795" s="8" t="s">
        <v>3266</v>
      </c>
      <c r="F795" s="8" t="s">
        <v>3267</v>
      </c>
      <c r="G795" s="8" t="s">
        <v>3268</v>
      </c>
      <c r="H795" s="8" t="s">
        <v>3269</v>
      </c>
      <c r="I795" s="8" t="s">
        <v>2827</v>
      </c>
      <c r="J795" s="8" t="s">
        <v>43</v>
      </c>
      <c r="K795" s="8" t="s">
        <v>43</v>
      </c>
      <c r="L795" s="6"/>
      <c r="M795" s="7" t="s">
        <v>43</v>
      </c>
      <c r="N795" s="7"/>
      <c r="O795" s="7"/>
      <c r="P795" s="6" t="s">
        <v>44</v>
      </c>
      <c r="Q795" s="6"/>
      <c r="R795" t="str">
        <f>HYPERLINK("https://docs.wto.org/imrd/directdoc.asp?DDFDocuments/t/G/TBTN22/BDI276A3.docx", "https://docs.wto.org/imrd/directdoc.asp?DDFDocuments/t/G/TBTN22/BDI276A3.docx")</f>
        <v>https://docs.wto.org/imrd/directdoc.asp?DDFDocuments/t/G/TBTN22/BDI276A3.docx</v>
      </c>
      <c r="S795" t="str">
        <f>HYPERLINK("https://docs.wto.org/imrd/directdoc.asp?DDFDocuments/u/G/TBTN22/BDI276A3.docx", "https://docs.wto.org/imrd/directdoc.asp?DDFDocuments/u/G/TBTN22/BDI276A3.docx")</f>
        <v>https://docs.wto.org/imrd/directdoc.asp?DDFDocuments/u/G/TBTN22/BDI276A3.docx</v>
      </c>
      <c r="T795" t="str">
        <f>HYPERLINK("https://docs.wto.org/imrd/directdoc.asp?DDFDocuments/v/G/TBTN22/BDI276A3.docx", "https://docs.wto.org/imrd/directdoc.asp?DDFDocuments/v/G/TBTN22/BDI276A3.docx")</f>
        <v>https://docs.wto.org/imrd/directdoc.asp?DDFDocuments/v/G/TBTN22/BDI276A3.docx</v>
      </c>
      <c r="U795" t="s">
        <v>64</v>
      </c>
      <c r="V795" t="s">
        <v>46</v>
      </c>
      <c r="W795" t="s">
        <v>64</v>
      </c>
      <c r="X795" t="s">
        <v>46</v>
      </c>
      <c r="Y795" t="s">
        <v>46</v>
      </c>
      <c r="Z795" t="s">
        <v>46</v>
      </c>
      <c r="AA795" t="s">
        <v>46</v>
      </c>
      <c r="AB795" s="2" t="s">
        <v>43</v>
      </c>
      <c r="AC795" t="s">
        <v>43</v>
      </c>
      <c r="AD795" t="s">
        <v>43</v>
      </c>
      <c r="AE795" t="s">
        <v>43</v>
      </c>
      <c r="AF795" t="s">
        <v>43</v>
      </c>
      <c r="AG795" t="s">
        <v>43</v>
      </c>
      <c r="AH795" s="2" t="s">
        <v>43</v>
      </c>
    </row>
    <row r="796" spans="1:34" ht="135">
      <c r="A796" s="6" t="s">
        <v>2430</v>
      </c>
      <c r="B796" s="7">
        <v>46057</v>
      </c>
      <c r="C796" s="9" t="str">
        <f>HYPERLINK("https://eping.wto.org/en/Search?viewData= G/SPS/N/NIC/256"," G/SPS/N/NIC/256")</f>
        <v xml:space="preserve"> G/SPS/N/NIC/256</v>
      </c>
      <c r="D796" s="8" t="s">
        <v>3298</v>
      </c>
      <c r="E796" s="8" t="s">
        <v>3299</v>
      </c>
      <c r="F796" s="8" t="s">
        <v>3300</v>
      </c>
      <c r="G796" s="8" t="s">
        <v>43</v>
      </c>
      <c r="H796" s="8" t="s">
        <v>43</v>
      </c>
      <c r="I796" s="8" t="s">
        <v>2433</v>
      </c>
      <c r="J796" s="8" t="s">
        <v>43</v>
      </c>
      <c r="K796" s="8" t="s">
        <v>95</v>
      </c>
      <c r="L796" s="6" t="s">
        <v>89</v>
      </c>
      <c r="M796" s="7">
        <v>46117</v>
      </c>
      <c r="N796" s="7" t="s">
        <v>79</v>
      </c>
      <c r="O796" s="7" t="s">
        <v>79</v>
      </c>
      <c r="P796" s="6" t="s">
        <v>62</v>
      </c>
      <c r="Q796" s="8" t="s">
        <v>3301</v>
      </c>
      <c r="R796" t="str">
        <f>HYPERLINK("https://docs.wto.org/imrd/directdoc.asp?DDFDocuments/t/G/SPS/NNIC256.docx", "https://docs.wto.org/imrd/directdoc.asp?DDFDocuments/t/G/SPS/NNIC256.docx")</f>
        <v>https://docs.wto.org/imrd/directdoc.asp?DDFDocuments/t/G/SPS/NNIC256.docx</v>
      </c>
      <c r="S796" t="str">
        <f>HYPERLINK("https://docs.wto.org/imrd/directdoc.asp?DDFDocuments/u/G/SPS/NNIC256.docx", "https://docs.wto.org/imrd/directdoc.asp?DDFDocuments/u/G/SPS/NNIC256.docx")</f>
        <v>https://docs.wto.org/imrd/directdoc.asp?DDFDocuments/u/G/SPS/NNIC256.docx</v>
      </c>
      <c r="T796" t="str">
        <f>HYPERLINK("https://docs.wto.org/imrd/directdoc.asp?DDFDocuments/v/G/SPS/NNIC256.docx", "https://docs.wto.org/imrd/directdoc.asp?DDFDocuments/v/G/SPS/NNIC256.docx")</f>
        <v>https://docs.wto.org/imrd/directdoc.asp?DDFDocuments/v/G/SPS/NNIC256.docx</v>
      </c>
      <c r="U796" t="s">
        <v>43</v>
      </c>
      <c r="V796" t="s">
        <v>43</v>
      </c>
      <c r="W796" t="s">
        <v>43</v>
      </c>
      <c r="X796" t="s">
        <v>43</v>
      </c>
      <c r="Y796" t="s">
        <v>43</v>
      </c>
      <c r="Z796" t="s">
        <v>43</v>
      </c>
      <c r="AA796" t="s">
        <v>43</v>
      </c>
      <c r="AB796" s="2" t="s">
        <v>43</v>
      </c>
      <c r="AC796" t="s">
        <v>46</v>
      </c>
      <c r="AD796" t="s">
        <v>46</v>
      </c>
      <c r="AE796" t="s">
        <v>46</v>
      </c>
      <c r="AF796" t="s">
        <v>64</v>
      </c>
      <c r="AG796" t="s">
        <v>99</v>
      </c>
      <c r="AH796" s="2" t="s">
        <v>43</v>
      </c>
    </row>
    <row r="797" spans="1:34" ht="60">
      <c r="A797" s="6" t="s">
        <v>390</v>
      </c>
      <c r="B797" s="7">
        <v>46057</v>
      </c>
      <c r="C797" s="9" t="str">
        <f>HYPERLINK("https://eping.wto.org/en/Search?viewData= G/TBT/N/BDI/240/Add.3, G/TBT/N/KEN/1259/Add.3, G/TBT/N/RWA/670/Add.3, G/TBT/N/TZA/780/Add.3, G/TBT/N/UGA/1593/Add.3"," G/TBT/N/BDI/240/Add.3, G/TBT/N/KEN/1259/Add.3, G/TBT/N/RWA/670/Add.3, G/TBT/N/TZA/780/Add.3, G/TBT/N/UGA/1593/Add.3")</f>
        <v xml:space="preserve"> G/TBT/N/BDI/240/Add.3, G/TBT/N/KEN/1259/Add.3, G/TBT/N/RWA/670/Add.3, G/TBT/N/TZA/780/Add.3, G/TBT/N/UGA/1593/Add.3</v>
      </c>
      <c r="D797" s="8" t="s">
        <v>3280</v>
      </c>
      <c r="E797" s="8" t="s">
        <v>3281</v>
      </c>
      <c r="F797" s="8" t="s">
        <v>3077</v>
      </c>
      <c r="G797" s="8" t="s">
        <v>3078</v>
      </c>
      <c r="H797" s="8" t="s">
        <v>1959</v>
      </c>
      <c r="I797" s="8" t="s">
        <v>3302</v>
      </c>
      <c r="J797" s="8"/>
      <c r="K797" s="8" t="s">
        <v>3080</v>
      </c>
      <c r="L797" s="6"/>
      <c r="M797" s="7" t="s">
        <v>43</v>
      </c>
      <c r="N797" s="7"/>
      <c r="O797" s="7"/>
      <c r="P797" s="6" t="s">
        <v>44</v>
      </c>
      <c r="Q797" s="6"/>
      <c r="R797" t="str">
        <f>HYPERLINK("https://docs.wto.org/imrd/directdoc.asp?DDFDocuments/t/G/TBTN22/BDI240A3.docx", "https://docs.wto.org/imrd/directdoc.asp?DDFDocuments/t/G/TBTN22/BDI240A3.docx")</f>
        <v>https://docs.wto.org/imrd/directdoc.asp?DDFDocuments/t/G/TBTN22/BDI240A3.docx</v>
      </c>
      <c r="S797" t="str">
        <f>HYPERLINK("https://docs.wto.org/imrd/directdoc.asp?DDFDocuments/u/G/TBTN22/BDI240A3.docx", "https://docs.wto.org/imrd/directdoc.asp?DDFDocuments/u/G/TBTN22/BDI240A3.docx")</f>
        <v>https://docs.wto.org/imrd/directdoc.asp?DDFDocuments/u/G/TBTN22/BDI240A3.docx</v>
      </c>
      <c r="T797" t="str">
        <f>HYPERLINK("https://docs.wto.org/imrd/directdoc.asp?DDFDocuments/v/G/TBTN22/BDI240A3.docx", "https://docs.wto.org/imrd/directdoc.asp?DDFDocuments/v/G/TBTN22/BDI240A3.docx")</f>
        <v>https://docs.wto.org/imrd/directdoc.asp?DDFDocuments/v/G/TBTN22/BDI240A3.docx</v>
      </c>
      <c r="U797" t="s">
        <v>64</v>
      </c>
      <c r="V797" t="s">
        <v>46</v>
      </c>
      <c r="W797" t="s">
        <v>46</v>
      </c>
      <c r="X797" t="s">
        <v>46</v>
      </c>
      <c r="Y797" t="s">
        <v>46</v>
      </c>
      <c r="Z797" t="s">
        <v>46</v>
      </c>
      <c r="AA797" t="s">
        <v>46</v>
      </c>
      <c r="AB797" s="2" t="s">
        <v>43</v>
      </c>
      <c r="AC797" t="s">
        <v>43</v>
      </c>
      <c r="AD797" t="s">
        <v>43</v>
      </c>
      <c r="AE797" t="s">
        <v>43</v>
      </c>
      <c r="AF797" t="s">
        <v>43</v>
      </c>
      <c r="AG797" t="s">
        <v>43</v>
      </c>
      <c r="AH797" s="2" t="s">
        <v>43</v>
      </c>
    </row>
    <row r="798" spans="1:34" ht="75">
      <c r="A798" s="6" t="s">
        <v>124</v>
      </c>
      <c r="B798" s="7">
        <v>46057</v>
      </c>
      <c r="C798" s="9" t="str">
        <f>HYPERLINK("https://eping.wto.org/en/Search?viewData= G/TBT/N/BDI/208/Add.3, G/TBT/N/KEN/1204/Add.3, G/TBT/N/RWA/599/Add.3, G/TBT/N/TZA/699/Add.3, G/TBT/N/UGA/1539/Add.3"," G/TBT/N/BDI/208/Add.3, G/TBT/N/KEN/1204/Add.3, G/TBT/N/RWA/599/Add.3, G/TBT/N/TZA/699/Add.3, G/TBT/N/UGA/1539/Add.3")</f>
        <v xml:space="preserve"> G/TBT/N/BDI/208/Add.3, G/TBT/N/KEN/1204/Add.3, G/TBT/N/RWA/599/Add.3, G/TBT/N/TZA/699/Add.3, G/TBT/N/UGA/1539/Add.3</v>
      </c>
      <c r="D798" s="8" t="s">
        <v>3303</v>
      </c>
      <c r="E798" s="8" t="s">
        <v>3304</v>
      </c>
      <c r="F798" s="8" t="s">
        <v>3305</v>
      </c>
      <c r="G798" s="8" t="s">
        <v>3306</v>
      </c>
      <c r="H798" s="8" t="s">
        <v>3260</v>
      </c>
      <c r="I798" s="8" t="s">
        <v>3307</v>
      </c>
      <c r="J798" s="8" t="s">
        <v>43</v>
      </c>
      <c r="K798" s="8" t="s">
        <v>43</v>
      </c>
      <c r="L798" s="6"/>
      <c r="M798" s="7" t="s">
        <v>43</v>
      </c>
      <c r="N798" s="7"/>
      <c r="O798" s="7"/>
      <c r="P798" s="6" t="s">
        <v>44</v>
      </c>
      <c r="Q798" s="6"/>
      <c r="R798" t="str">
        <f>HYPERLINK("https://docs.wto.org/imrd/directdoc.asp?DDFDocuments/t/G/TBTN22/BDI208A3.docx", "https://docs.wto.org/imrd/directdoc.asp?DDFDocuments/t/G/TBTN22/BDI208A3.docx")</f>
        <v>https://docs.wto.org/imrd/directdoc.asp?DDFDocuments/t/G/TBTN22/BDI208A3.docx</v>
      </c>
      <c r="S798" t="str">
        <f>HYPERLINK("https://docs.wto.org/imrd/directdoc.asp?DDFDocuments/u/G/TBTN22/BDI208A3.docx", "https://docs.wto.org/imrd/directdoc.asp?DDFDocuments/u/G/TBTN22/BDI208A3.docx")</f>
        <v>https://docs.wto.org/imrd/directdoc.asp?DDFDocuments/u/G/TBTN22/BDI208A3.docx</v>
      </c>
      <c r="T798" t="str">
        <f>HYPERLINK("https://docs.wto.org/imrd/directdoc.asp?DDFDocuments/v/G/TBTN22/BDI208A3.docx", "https://docs.wto.org/imrd/directdoc.asp?DDFDocuments/v/G/TBTN22/BDI208A3.docx")</f>
        <v>https://docs.wto.org/imrd/directdoc.asp?DDFDocuments/v/G/TBTN22/BDI208A3.docx</v>
      </c>
      <c r="U798" t="s">
        <v>46</v>
      </c>
      <c r="V798" t="s">
        <v>46</v>
      </c>
      <c r="W798" t="s">
        <v>64</v>
      </c>
      <c r="X798" t="s">
        <v>46</v>
      </c>
      <c r="Y798" t="s">
        <v>46</v>
      </c>
      <c r="Z798" t="s">
        <v>46</v>
      </c>
      <c r="AA798" t="s">
        <v>46</v>
      </c>
      <c r="AB798" s="2" t="s">
        <v>43</v>
      </c>
      <c r="AC798" t="s">
        <v>43</v>
      </c>
      <c r="AD798" t="s">
        <v>43</v>
      </c>
      <c r="AE798" t="s">
        <v>43</v>
      </c>
      <c r="AF798" t="s">
        <v>43</v>
      </c>
      <c r="AG798" t="s">
        <v>43</v>
      </c>
      <c r="AH798" s="2" t="s">
        <v>43</v>
      </c>
    </row>
    <row r="799" spans="1:34" ht="90">
      <c r="A799" s="6" t="s">
        <v>108</v>
      </c>
      <c r="B799" s="7">
        <v>46057</v>
      </c>
      <c r="C799" s="9" t="str">
        <f>HYPERLINK("https://eping.wto.org/en/Search?viewData= G/TBT/N/BDI/205/Add.3, G/TBT/N/KEN/1201/Add.3, G/TBT/N/RWA/596/Add.3, G/TBT/N/TZA/696/Add.3, G/TBT/N/UGA/1536/Add.3"," G/TBT/N/BDI/205/Add.3, G/TBT/N/KEN/1201/Add.3, G/TBT/N/RWA/596/Add.3, G/TBT/N/TZA/696/Add.3, G/TBT/N/UGA/1536/Add.3")</f>
        <v xml:space="preserve"> G/TBT/N/BDI/205/Add.3, G/TBT/N/KEN/1201/Add.3, G/TBT/N/RWA/596/Add.3, G/TBT/N/TZA/696/Add.3, G/TBT/N/UGA/1536/Add.3</v>
      </c>
      <c r="D799" s="8" t="s">
        <v>3273</v>
      </c>
      <c r="E799" s="8" t="s">
        <v>3274</v>
      </c>
      <c r="F799" s="8" t="s">
        <v>3275</v>
      </c>
      <c r="G799" s="8" t="s">
        <v>3259</v>
      </c>
      <c r="H799" s="8" t="s">
        <v>3260</v>
      </c>
      <c r="I799" s="8" t="s">
        <v>3261</v>
      </c>
      <c r="J799" s="8" t="s">
        <v>43</v>
      </c>
      <c r="K799" s="8" t="s">
        <v>350</v>
      </c>
      <c r="L799" s="6"/>
      <c r="M799" s="7" t="s">
        <v>43</v>
      </c>
      <c r="N799" s="7"/>
      <c r="O799" s="7"/>
      <c r="P799" s="6" t="s">
        <v>44</v>
      </c>
      <c r="Q799" s="6"/>
      <c r="R799" t="str">
        <f>HYPERLINK("https://docs.wto.org/imrd/directdoc.asp?DDFDocuments/t/G/TBTN22/BDI205A3.docx", "https://docs.wto.org/imrd/directdoc.asp?DDFDocuments/t/G/TBTN22/BDI205A3.docx")</f>
        <v>https://docs.wto.org/imrd/directdoc.asp?DDFDocuments/t/G/TBTN22/BDI205A3.docx</v>
      </c>
      <c r="S799" t="str">
        <f>HYPERLINK("https://docs.wto.org/imrd/directdoc.asp?DDFDocuments/u/G/TBTN22/BDI205A3.docx", "https://docs.wto.org/imrd/directdoc.asp?DDFDocuments/u/G/TBTN22/BDI205A3.docx")</f>
        <v>https://docs.wto.org/imrd/directdoc.asp?DDFDocuments/u/G/TBTN22/BDI205A3.docx</v>
      </c>
      <c r="T799" t="str">
        <f>HYPERLINK("https://docs.wto.org/imrd/directdoc.asp?DDFDocuments/v/G/TBTN22/BDI205A3.docx", "https://docs.wto.org/imrd/directdoc.asp?DDFDocuments/v/G/TBTN22/BDI205A3.docx")</f>
        <v>https://docs.wto.org/imrd/directdoc.asp?DDFDocuments/v/G/TBTN22/BDI205A3.docx</v>
      </c>
      <c r="U799" t="s">
        <v>64</v>
      </c>
      <c r="V799" t="s">
        <v>46</v>
      </c>
      <c r="W799" t="s">
        <v>64</v>
      </c>
      <c r="X799" t="s">
        <v>46</v>
      </c>
      <c r="Y799" t="s">
        <v>46</v>
      </c>
      <c r="Z799" t="s">
        <v>46</v>
      </c>
      <c r="AA799" t="s">
        <v>46</v>
      </c>
      <c r="AB799" s="2" t="s">
        <v>43</v>
      </c>
      <c r="AC799" t="s">
        <v>43</v>
      </c>
      <c r="AD799" t="s">
        <v>43</v>
      </c>
      <c r="AE799" t="s">
        <v>43</v>
      </c>
      <c r="AF799" t="s">
        <v>43</v>
      </c>
      <c r="AG799" t="s">
        <v>43</v>
      </c>
      <c r="AH799" s="2" t="s">
        <v>43</v>
      </c>
    </row>
    <row r="800" spans="1:34" ht="90">
      <c r="A800" s="6" t="s">
        <v>124</v>
      </c>
      <c r="B800" s="7">
        <v>46057</v>
      </c>
      <c r="C800" s="9" t="str">
        <f>HYPERLINK("https://eping.wto.org/en/Search?viewData= G/TBT/N/BDI/203/Add.3, G/TBT/N/KEN/1199/Add.3, G/TBT/N/RWA/594/Add.3, G/TBT/N/TZA/694/Add.3, G/TBT/N/UGA/1534/Add.3"," G/TBT/N/BDI/203/Add.3, G/TBT/N/KEN/1199/Add.3, G/TBT/N/RWA/594/Add.3, G/TBT/N/TZA/694/Add.3, G/TBT/N/UGA/1534/Add.3")</f>
        <v xml:space="preserve"> G/TBT/N/BDI/203/Add.3, G/TBT/N/KEN/1199/Add.3, G/TBT/N/RWA/594/Add.3, G/TBT/N/TZA/694/Add.3, G/TBT/N/UGA/1534/Add.3</v>
      </c>
      <c r="D800" s="8" t="s">
        <v>3276</v>
      </c>
      <c r="E800" s="8" t="s">
        <v>3277</v>
      </c>
      <c r="F800" s="8" t="s">
        <v>3278</v>
      </c>
      <c r="G800" s="8" t="s">
        <v>3279</v>
      </c>
      <c r="H800" s="8" t="s">
        <v>3260</v>
      </c>
      <c r="I800" s="8" t="s">
        <v>3261</v>
      </c>
      <c r="J800" s="8" t="s">
        <v>43</v>
      </c>
      <c r="K800" s="8" t="s">
        <v>350</v>
      </c>
      <c r="L800" s="6"/>
      <c r="M800" s="7" t="s">
        <v>43</v>
      </c>
      <c r="N800" s="7"/>
      <c r="O800" s="7"/>
      <c r="P800" s="6" t="s">
        <v>44</v>
      </c>
      <c r="Q800" s="6"/>
      <c r="R800" t="str">
        <f>HYPERLINK("https://docs.wto.org/imrd/directdoc.asp?DDFDocuments/t/G/TBTN22/BDI203A3.docx", "https://docs.wto.org/imrd/directdoc.asp?DDFDocuments/t/G/TBTN22/BDI203A3.docx")</f>
        <v>https://docs.wto.org/imrd/directdoc.asp?DDFDocuments/t/G/TBTN22/BDI203A3.docx</v>
      </c>
      <c r="S800" t="str">
        <f>HYPERLINK("https://docs.wto.org/imrd/directdoc.asp?DDFDocuments/u/G/TBTN22/BDI203A3.docx", "https://docs.wto.org/imrd/directdoc.asp?DDFDocuments/u/G/TBTN22/BDI203A3.docx")</f>
        <v>https://docs.wto.org/imrd/directdoc.asp?DDFDocuments/u/G/TBTN22/BDI203A3.docx</v>
      </c>
      <c r="T800" t="str">
        <f>HYPERLINK("https://docs.wto.org/imrd/directdoc.asp?DDFDocuments/v/G/TBTN22/BDI203A3.docx", "https://docs.wto.org/imrd/directdoc.asp?DDFDocuments/v/G/TBTN22/BDI203A3.docx")</f>
        <v>https://docs.wto.org/imrd/directdoc.asp?DDFDocuments/v/G/TBTN22/BDI203A3.docx</v>
      </c>
      <c r="U800" t="s">
        <v>64</v>
      </c>
      <c r="V800" t="s">
        <v>46</v>
      </c>
      <c r="W800" t="s">
        <v>64</v>
      </c>
      <c r="X800" t="s">
        <v>46</v>
      </c>
      <c r="Y800" t="s">
        <v>46</v>
      </c>
      <c r="Z800" t="s">
        <v>46</v>
      </c>
      <c r="AA800" t="s">
        <v>46</v>
      </c>
      <c r="AB800" s="2" t="s">
        <v>43</v>
      </c>
      <c r="AC800" t="s">
        <v>43</v>
      </c>
      <c r="AD800" t="s">
        <v>43</v>
      </c>
      <c r="AE800" t="s">
        <v>43</v>
      </c>
      <c r="AF800" t="s">
        <v>43</v>
      </c>
      <c r="AG800" t="s">
        <v>43</v>
      </c>
      <c r="AH800" s="2" t="s">
        <v>43</v>
      </c>
    </row>
    <row r="801" spans="1:34" ht="90">
      <c r="A801" s="6" t="s">
        <v>108</v>
      </c>
      <c r="B801" s="7">
        <v>46057</v>
      </c>
      <c r="C801" s="9" t="str">
        <f>HYPERLINK("https://eping.wto.org/en/Search?viewData= G/TBT/N/BDI/203/Add.3, G/TBT/N/KEN/1199/Add.3, G/TBT/N/RWA/594/Add.3, G/TBT/N/TZA/694/Add.3, G/TBT/N/UGA/1534/Add.3"," G/TBT/N/BDI/203/Add.3, G/TBT/N/KEN/1199/Add.3, G/TBT/N/RWA/594/Add.3, G/TBT/N/TZA/694/Add.3, G/TBT/N/UGA/1534/Add.3")</f>
        <v xml:space="preserve"> G/TBT/N/BDI/203/Add.3, G/TBT/N/KEN/1199/Add.3, G/TBT/N/RWA/594/Add.3, G/TBT/N/TZA/694/Add.3, G/TBT/N/UGA/1534/Add.3</v>
      </c>
      <c r="D801" s="8" t="s">
        <v>3276</v>
      </c>
      <c r="E801" s="8" t="s">
        <v>3277</v>
      </c>
      <c r="F801" s="8" t="s">
        <v>3278</v>
      </c>
      <c r="G801" s="8" t="s">
        <v>3279</v>
      </c>
      <c r="H801" s="8" t="s">
        <v>3260</v>
      </c>
      <c r="I801" s="8" t="s">
        <v>3261</v>
      </c>
      <c r="J801" s="8" t="s">
        <v>43</v>
      </c>
      <c r="K801" s="8" t="s">
        <v>350</v>
      </c>
      <c r="L801" s="6"/>
      <c r="M801" s="7" t="s">
        <v>43</v>
      </c>
      <c r="N801" s="7"/>
      <c r="O801" s="7"/>
      <c r="P801" s="6" t="s">
        <v>44</v>
      </c>
      <c r="Q801" s="6"/>
      <c r="R801" t="str">
        <f>HYPERLINK("https://docs.wto.org/imrd/directdoc.asp?DDFDocuments/t/G/TBTN22/BDI203A3.docx", "https://docs.wto.org/imrd/directdoc.asp?DDFDocuments/t/G/TBTN22/BDI203A3.docx")</f>
        <v>https://docs.wto.org/imrd/directdoc.asp?DDFDocuments/t/G/TBTN22/BDI203A3.docx</v>
      </c>
      <c r="S801" t="str">
        <f>HYPERLINK("https://docs.wto.org/imrd/directdoc.asp?DDFDocuments/u/G/TBTN22/BDI203A3.docx", "https://docs.wto.org/imrd/directdoc.asp?DDFDocuments/u/G/TBTN22/BDI203A3.docx")</f>
        <v>https://docs.wto.org/imrd/directdoc.asp?DDFDocuments/u/G/TBTN22/BDI203A3.docx</v>
      </c>
      <c r="T801" t="str">
        <f>HYPERLINK("https://docs.wto.org/imrd/directdoc.asp?DDFDocuments/v/G/TBTN22/BDI203A3.docx", "https://docs.wto.org/imrd/directdoc.asp?DDFDocuments/v/G/TBTN22/BDI203A3.docx")</f>
        <v>https://docs.wto.org/imrd/directdoc.asp?DDFDocuments/v/G/TBTN22/BDI203A3.docx</v>
      </c>
      <c r="U801" t="s">
        <v>64</v>
      </c>
      <c r="V801" t="s">
        <v>46</v>
      </c>
      <c r="W801" t="s">
        <v>64</v>
      </c>
      <c r="X801" t="s">
        <v>46</v>
      </c>
      <c r="Y801" t="s">
        <v>46</v>
      </c>
      <c r="Z801" t="s">
        <v>46</v>
      </c>
      <c r="AA801" t="s">
        <v>46</v>
      </c>
      <c r="AB801" s="2" t="s">
        <v>43</v>
      </c>
      <c r="AC801" t="s">
        <v>43</v>
      </c>
      <c r="AD801" t="s">
        <v>43</v>
      </c>
      <c r="AE801" t="s">
        <v>43</v>
      </c>
      <c r="AF801" t="s">
        <v>43</v>
      </c>
      <c r="AG801" t="s">
        <v>43</v>
      </c>
      <c r="AH801" s="2" t="s">
        <v>43</v>
      </c>
    </row>
    <row r="802" spans="1:34" ht="60">
      <c r="A802" s="6" t="s">
        <v>390</v>
      </c>
      <c r="B802" s="7">
        <v>46057</v>
      </c>
      <c r="C802" s="9" t="str">
        <f>HYPERLINK("https://eping.wto.org/en/Search?viewData= G/TBT/N/BDI/203/Add.3, G/TBT/N/KEN/1199/Add.3, G/TBT/N/RWA/594/Add.3, G/TBT/N/TZA/694/Add.3, G/TBT/N/UGA/1534/Add.3"," G/TBT/N/BDI/203/Add.3, G/TBT/N/KEN/1199/Add.3, G/TBT/N/RWA/594/Add.3, G/TBT/N/TZA/694/Add.3, G/TBT/N/UGA/1534/Add.3")</f>
        <v xml:space="preserve"> G/TBT/N/BDI/203/Add.3, G/TBT/N/KEN/1199/Add.3, G/TBT/N/RWA/594/Add.3, G/TBT/N/TZA/694/Add.3, G/TBT/N/UGA/1534/Add.3</v>
      </c>
      <c r="D802" s="8" t="s">
        <v>3276</v>
      </c>
      <c r="E802" s="8" t="s">
        <v>3277</v>
      </c>
      <c r="F802" s="8" t="s">
        <v>3278</v>
      </c>
      <c r="G802" s="8" t="s">
        <v>3279</v>
      </c>
      <c r="H802" s="8" t="s">
        <v>3260</v>
      </c>
      <c r="I802" s="8" t="s">
        <v>1035</v>
      </c>
      <c r="J802" s="8" t="s">
        <v>43</v>
      </c>
      <c r="K802" s="8" t="s">
        <v>350</v>
      </c>
      <c r="L802" s="6"/>
      <c r="M802" s="7" t="s">
        <v>43</v>
      </c>
      <c r="N802" s="7"/>
      <c r="O802" s="7"/>
      <c r="P802" s="6" t="s">
        <v>44</v>
      </c>
      <c r="Q802" s="6"/>
      <c r="R802" t="str">
        <f>HYPERLINK("https://docs.wto.org/imrd/directdoc.asp?DDFDocuments/t/G/TBTN22/BDI203A3.docx", "https://docs.wto.org/imrd/directdoc.asp?DDFDocuments/t/G/TBTN22/BDI203A3.docx")</f>
        <v>https://docs.wto.org/imrd/directdoc.asp?DDFDocuments/t/G/TBTN22/BDI203A3.docx</v>
      </c>
      <c r="S802" t="str">
        <f>HYPERLINK("https://docs.wto.org/imrd/directdoc.asp?DDFDocuments/u/G/TBTN22/BDI203A3.docx", "https://docs.wto.org/imrd/directdoc.asp?DDFDocuments/u/G/TBTN22/BDI203A3.docx")</f>
        <v>https://docs.wto.org/imrd/directdoc.asp?DDFDocuments/u/G/TBTN22/BDI203A3.docx</v>
      </c>
      <c r="T802" t="str">
        <f>HYPERLINK("https://docs.wto.org/imrd/directdoc.asp?DDFDocuments/v/G/TBTN22/BDI203A3.docx", "https://docs.wto.org/imrd/directdoc.asp?DDFDocuments/v/G/TBTN22/BDI203A3.docx")</f>
        <v>https://docs.wto.org/imrd/directdoc.asp?DDFDocuments/v/G/TBTN22/BDI203A3.docx</v>
      </c>
      <c r="U802" t="s">
        <v>64</v>
      </c>
      <c r="V802" t="s">
        <v>46</v>
      </c>
      <c r="W802" t="s">
        <v>64</v>
      </c>
      <c r="X802" t="s">
        <v>46</v>
      </c>
      <c r="Y802" t="s">
        <v>46</v>
      </c>
      <c r="Z802" t="s">
        <v>46</v>
      </c>
      <c r="AA802" t="s">
        <v>46</v>
      </c>
      <c r="AB802" s="2" t="s">
        <v>43</v>
      </c>
      <c r="AC802" t="s">
        <v>43</v>
      </c>
      <c r="AD802" t="s">
        <v>43</v>
      </c>
      <c r="AE802" t="s">
        <v>43</v>
      </c>
      <c r="AF802" t="s">
        <v>43</v>
      </c>
      <c r="AG802" t="s">
        <v>43</v>
      </c>
      <c r="AH802" s="2" t="s">
        <v>43</v>
      </c>
    </row>
    <row r="803" spans="1:34" ht="90">
      <c r="A803" s="6" t="s">
        <v>124</v>
      </c>
      <c r="B803" s="7">
        <v>46057</v>
      </c>
      <c r="C803" s="9" t="str">
        <f>HYPERLINK("https://eping.wto.org/en/Search?viewData= G/TBT/N/BDI/205/Add.3, G/TBT/N/KEN/1201/Add.3, G/TBT/N/RWA/596/Add.3, G/TBT/N/TZA/696/Add.3, G/TBT/N/UGA/1536/Add.3"," G/TBT/N/BDI/205/Add.3, G/TBT/N/KEN/1201/Add.3, G/TBT/N/RWA/596/Add.3, G/TBT/N/TZA/696/Add.3, G/TBT/N/UGA/1536/Add.3")</f>
        <v xml:space="preserve"> G/TBT/N/BDI/205/Add.3, G/TBT/N/KEN/1201/Add.3, G/TBT/N/RWA/596/Add.3, G/TBT/N/TZA/696/Add.3, G/TBT/N/UGA/1536/Add.3</v>
      </c>
      <c r="D803" s="8" t="s">
        <v>3273</v>
      </c>
      <c r="E803" s="8" t="s">
        <v>3274</v>
      </c>
      <c r="F803" s="8" t="s">
        <v>3275</v>
      </c>
      <c r="G803" s="8" t="s">
        <v>3259</v>
      </c>
      <c r="H803" s="8" t="s">
        <v>3260</v>
      </c>
      <c r="I803" s="8" t="s">
        <v>3261</v>
      </c>
      <c r="J803" s="8" t="s">
        <v>43</v>
      </c>
      <c r="K803" s="8" t="s">
        <v>350</v>
      </c>
      <c r="L803" s="6"/>
      <c r="M803" s="7" t="s">
        <v>43</v>
      </c>
      <c r="N803" s="7"/>
      <c r="O803" s="7"/>
      <c r="P803" s="6" t="s">
        <v>44</v>
      </c>
      <c r="Q803" s="6"/>
      <c r="R803" t="str">
        <f>HYPERLINK("https://docs.wto.org/imrd/directdoc.asp?DDFDocuments/t/G/TBTN22/BDI205A3.docx", "https://docs.wto.org/imrd/directdoc.asp?DDFDocuments/t/G/TBTN22/BDI205A3.docx")</f>
        <v>https://docs.wto.org/imrd/directdoc.asp?DDFDocuments/t/G/TBTN22/BDI205A3.docx</v>
      </c>
      <c r="S803" t="str">
        <f>HYPERLINK("https://docs.wto.org/imrd/directdoc.asp?DDFDocuments/u/G/TBTN22/BDI205A3.docx", "https://docs.wto.org/imrd/directdoc.asp?DDFDocuments/u/G/TBTN22/BDI205A3.docx")</f>
        <v>https://docs.wto.org/imrd/directdoc.asp?DDFDocuments/u/G/TBTN22/BDI205A3.docx</v>
      </c>
      <c r="T803" t="str">
        <f>HYPERLINK("https://docs.wto.org/imrd/directdoc.asp?DDFDocuments/v/G/TBTN22/BDI205A3.docx", "https://docs.wto.org/imrd/directdoc.asp?DDFDocuments/v/G/TBTN22/BDI205A3.docx")</f>
        <v>https://docs.wto.org/imrd/directdoc.asp?DDFDocuments/v/G/TBTN22/BDI205A3.docx</v>
      </c>
      <c r="U803" t="s">
        <v>64</v>
      </c>
      <c r="V803" t="s">
        <v>46</v>
      </c>
      <c r="W803" t="s">
        <v>64</v>
      </c>
      <c r="X803" t="s">
        <v>46</v>
      </c>
      <c r="Y803" t="s">
        <v>46</v>
      </c>
      <c r="Z803" t="s">
        <v>46</v>
      </c>
      <c r="AA803" t="s">
        <v>46</v>
      </c>
      <c r="AB803" s="2" t="s">
        <v>43</v>
      </c>
      <c r="AC803" t="s">
        <v>43</v>
      </c>
      <c r="AD803" t="s">
        <v>43</v>
      </c>
      <c r="AE803" t="s">
        <v>43</v>
      </c>
      <c r="AF803" t="s">
        <v>43</v>
      </c>
      <c r="AG803" t="s">
        <v>43</v>
      </c>
      <c r="AH803" s="2" t="s">
        <v>43</v>
      </c>
    </row>
    <row r="804" spans="1:34" ht="90">
      <c r="A804" s="6" t="s">
        <v>108</v>
      </c>
      <c r="B804" s="7">
        <v>46057</v>
      </c>
      <c r="C804" s="9" t="str">
        <f>HYPERLINK("https://eping.wto.org/en/Search?viewData= G/TBT/N/BDI/206/Add.3, G/TBT/N/KEN/1202/Add.3, G/TBT/N/RWA/597/Add.3, G/TBT/N/TZA/697/Add.3, G/TBT/N/UGA/1537/Add.3"," G/TBT/N/BDI/206/Add.3, G/TBT/N/KEN/1202/Add.3, G/TBT/N/RWA/597/Add.3, G/TBT/N/TZA/697/Add.3, G/TBT/N/UGA/1537/Add.3")</f>
        <v xml:space="preserve"> G/TBT/N/BDI/206/Add.3, G/TBT/N/KEN/1202/Add.3, G/TBT/N/RWA/597/Add.3, G/TBT/N/TZA/697/Add.3, G/TBT/N/UGA/1537/Add.3</v>
      </c>
      <c r="D804" s="8" t="s">
        <v>3262</v>
      </c>
      <c r="E804" s="8" t="s">
        <v>3263</v>
      </c>
      <c r="F804" s="8" t="s">
        <v>3264</v>
      </c>
      <c r="G804" s="8" t="s">
        <v>3259</v>
      </c>
      <c r="H804" s="8" t="s">
        <v>3260</v>
      </c>
      <c r="I804" s="8" t="s">
        <v>3261</v>
      </c>
      <c r="J804" s="8" t="s">
        <v>43</v>
      </c>
      <c r="K804" s="8" t="s">
        <v>43</v>
      </c>
      <c r="L804" s="6"/>
      <c r="M804" s="7" t="s">
        <v>43</v>
      </c>
      <c r="N804" s="7"/>
      <c r="O804" s="7"/>
      <c r="P804" s="6" t="s">
        <v>44</v>
      </c>
      <c r="Q804" s="6"/>
      <c r="R804" t="str">
        <f>HYPERLINK("https://docs.wto.org/imrd/directdoc.asp?DDFDocuments/t/G/TBTN22/BDI206A3.docx", "https://docs.wto.org/imrd/directdoc.asp?DDFDocuments/t/G/TBTN22/BDI206A3.docx")</f>
        <v>https://docs.wto.org/imrd/directdoc.asp?DDFDocuments/t/G/TBTN22/BDI206A3.docx</v>
      </c>
      <c r="S804" t="str">
        <f>HYPERLINK("https://docs.wto.org/imrd/directdoc.asp?DDFDocuments/u/G/TBTN22/BDI206A3.docx", "https://docs.wto.org/imrd/directdoc.asp?DDFDocuments/u/G/TBTN22/BDI206A3.docx")</f>
        <v>https://docs.wto.org/imrd/directdoc.asp?DDFDocuments/u/G/TBTN22/BDI206A3.docx</v>
      </c>
      <c r="T804" t="str">
        <f>HYPERLINK("https://docs.wto.org/imrd/directdoc.asp?DDFDocuments/v/G/TBTN22/BDI206A3.docx", "https://docs.wto.org/imrd/directdoc.asp?DDFDocuments/v/G/TBTN22/BDI206A3.docx")</f>
        <v>https://docs.wto.org/imrd/directdoc.asp?DDFDocuments/v/G/TBTN22/BDI206A3.docx</v>
      </c>
      <c r="U804" t="s">
        <v>64</v>
      </c>
      <c r="V804" t="s">
        <v>46</v>
      </c>
      <c r="W804" t="s">
        <v>64</v>
      </c>
      <c r="X804" t="s">
        <v>46</v>
      </c>
      <c r="Y804" t="s">
        <v>46</v>
      </c>
      <c r="Z804" t="s">
        <v>46</v>
      </c>
      <c r="AA804" t="s">
        <v>46</v>
      </c>
      <c r="AB804" s="2" t="s">
        <v>43</v>
      </c>
      <c r="AC804" t="s">
        <v>43</v>
      </c>
      <c r="AD804" t="s">
        <v>43</v>
      </c>
      <c r="AE804" t="s">
        <v>43</v>
      </c>
      <c r="AF804" t="s">
        <v>43</v>
      </c>
      <c r="AG804" t="s">
        <v>43</v>
      </c>
      <c r="AH804" s="2" t="s">
        <v>43</v>
      </c>
    </row>
    <row r="805" spans="1:34" ht="90">
      <c r="A805" s="6" t="s">
        <v>124</v>
      </c>
      <c r="B805" s="7">
        <v>46057</v>
      </c>
      <c r="C805" s="9" t="str">
        <f>HYPERLINK("https://eping.wto.org/en/Search?viewData= G/TBT/N/BDI/205/Add.4, G/TBT/N/KEN/1201/Add.4, G/TBT/N/RWA/596/Add.4, G/TBT/N/TZA/696/Add.4, G/TBT/N/UGA/1536/Add.4"," G/TBT/N/BDI/205/Add.4, G/TBT/N/KEN/1201/Add.4, G/TBT/N/RWA/596/Add.4, G/TBT/N/TZA/696/Add.4, G/TBT/N/UGA/1536/Add.4")</f>
        <v xml:space="preserve"> G/TBT/N/BDI/205/Add.4, G/TBT/N/KEN/1201/Add.4, G/TBT/N/RWA/596/Add.4, G/TBT/N/TZA/696/Add.4, G/TBT/N/UGA/1536/Add.4</v>
      </c>
      <c r="D805" s="8" t="s">
        <v>3273</v>
      </c>
      <c r="E805" s="8" t="s">
        <v>3297</v>
      </c>
      <c r="F805" s="8" t="s">
        <v>3275</v>
      </c>
      <c r="G805" s="8" t="s">
        <v>3259</v>
      </c>
      <c r="H805" s="8" t="s">
        <v>3260</v>
      </c>
      <c r="I805" s="8" t="s">
        <v>3261</v>
      </c>
      <c r="J805" s="8" t="s">
        <v>43</v>
      </c>
      <c r="K805" s="8" t="s">
        <v>350</v>
      </c>
      <c r="L805" s="6"/>
      <c r="M805" s="7" t="s">
        <v>43</v>
      </c>
      <c r="N805" s="7"/>
      <c r="O805" s="7"/>
      <c r="P805" s="6" t="s">
        <v>44</v>
      </c>
      <c r="Q805" s="6"/>
      <c r="R805" t="str">
        <f>HYPERLINK("https://docs.wto.org/imrd/directdoc.asp?DDFDocuments/t/G/TBTN22/BDI205A4.docx", "https://docs.wto.org/imrd/directdoc.asp?DDFDocuments/t/G/TBTN22/BDI205A4.docx")</f>
        <v>https://docs.wto.org/imrd/directdoc.asp?DDFDocuments/t/G/TBTN22/BDI205A4.docx</v>
      </c>
      <c r="S805" t="str">
        <f>HYPERLINK("https://docs.wto.org/imrd/directdoc.asp?DDFDocuments/u/G/TBTN22/BDI205A4.docx", "https://docs.wto.org/imrd/directdoc.asp?DDFDocuments/u/G/TBTN22/BDI205A4.docx")</f>
        <v>https://docs.wto.org/imrd/directdoc.asp?DDFDocuments/u/G/TBTN22/BDI205A4.docx</v>
      </c>
      <c r="T805" t="str">
        <f>HYPERLINK("https://docs.wto.org/imrd/directdoc.asp?DDFDocuments/v/G/TBTN22/BDI205A4.docx", "https://docs.wto.org/imrd/directdoc.asp?DDFDocuments/v/G/TBTN22/BDI205A4.docx")</f>
        <v>https://docs.wto.org/imrd/directdoc.asp?DDFDocuments/v/G/TBTN22/BDI205A4.docx</v>
      </c>
      <c r="U805" t="s">
        <v>64</v>
      </c>
      <c r="V805" t="s">
        <v>46</v>
      </c>
      <c r="W805" t="s">
        <v>64</v>
      </c>
      <c r="X805" t="s">
        <v>46</v>
      </c>
      <c r="Y805" t="s">
        <v>46</v>
      </c>
      <c r="Z805" t="s">
        <v>46</v>
      </c>
      <c r="AA805" t="s">
        <v>46</v>
      </c>
      <c r="AB805" s="2" t="s">
        <v>43</v>
      </c>
      <c r="AC805" t="s">
        <v>43</v>
      </c>
      <c r="AD805" t="s">
        <v>43</v>
      </c>
      <c r="AE805" t="s">
        <v>43</v>
      </c>
      <c r="AF805" t="s">
        <v>43</v>
      </c>
      <c r="AG805" t="s">
        <v>43</v>
      </c>
      <c r="AH805" s="2" t="s">
        <v>43</v>
      </c>
    </row>
    <row r="806" spans="1:34" ht="60">
      <c r="A806" s="6" t="s">
        <v>124</v>
      </c>
      <c r="B806" s="7">
        <v>46057</v>
      </c>
      <c r="C806" s="9" t="str">
        <f>HYPERLINK("https://eping.wto.org/en/Search?viewData= G/TBT/N/BDI/240/Add.3, G/TBT/N/KEN/1259/Add.3, G/TBT/N/RWA/670/Add.3, G/TBT/N/TZA/780/Add.3, G/TBT/N/UGA/1593/Add.3"," G/TBT/N/BDI/240/Add.3, G/TBT/N/KEN/1259/Add.3, G/TBT/N/RWA/670/Add.3, G/TBT/N/TZA/780/Add.3, G/TBT/N/UGA/1593/Add.3")</f>
        <v xml:space="preserve"> G/TBT/N/BDI/240/Add.3, G/TBT/N/KEN/1259/Add.3, G/TBT/N/RWA/670/Add.3, G/TBT/N/TZA/780/Add.3, G/TBT/N/UGA/1593/Add.3</v>
      </c>
      <c r="D806" s="8" t="s">
        <v>3280</v>
      </c>
      <c r="E806" s="8" t="s">
        <v>3281</v>
      </c>
      <c r="F806" s="8" t="s">
        <v>3077</v>
      </c>
      <c r="G806" s="8" t="s">
        <v>3078</v>
      </c>
      <c r="H806" s="8" t="s">
        <v>1959</v>
      </c>
      <c r="I806" s="8" t="s">
        <v>3282</v>
      </c>
      <c r="J806" s="8"/>
      <c r="K806" s="8" t="s">
        <v>3080</v>
      </c>
      <c r="L806" s="6"/>
      <c r="M806" s="7" t="s">
        <v>43</v>
      </c>
      <c r="N806" s="7"/>
      <c r="O806" s="7"/>
      <c r="P806" s="6" t="s">
        <v>44</v>
      </c>
      <c r="Q806" s="6"/>
      <c r="R806" t="str">
        <f>HYPERLINK("https://docs.wto.org/imrd/directdoc.asp?DDFDocuments/t/G/TBTN22/BDI240A3.docx", "https://docs.wto.org/imrd/directdoc.asp?DDFDocuments/t/G/TBTN22/BDI240A3.docx")</f>
        <v>https://docs.wto.org/imrd/directdoc.asp?DDFDocuments/t/G/TBTN22/BDI240A3.docx</v>
      </c>
      <c r="S806" t="str">
        <f>HYPERLINK("https://docs.wto.org/imrd/directdoc.asp?DDFDocuments/u/G/TBTN22/BDI240A3.docx", "https://docs.wto.org/imrd/directdoc.asp?DDFDocuments/u/G/TBTN22/BDI240A3.docx")</f>
        <v>https://docs.wto.org/imrd/directdoc.asp?DDFDocuments/u/G/TBTN22/BDI240A3.docx</v>
      </c>
      <c r="T806" t="str">
        <f>HYPERLINK("https://docs.wto.org/imrd/directdoc.asp?DDFDocuments/v/G/TBTN22/BDI240A3.docx", "https://docs.wto.org/imrd/directdoc.asp?DDFDocuments/v/G/TBTN22/BDI240A3.docx")</f>
        <v>https://docs.wto.org/imrd/directdoc.asp?DDFDocuments/v/G/TBTN22/BDI240A3.docx</v>
      </c>
      <c r="U806" t="s">
        <v>64</v>
      </c>
      <c r="V806" t="s">
        <v>46</v>
      </c>
      <c r="W806" t="s">
        <v>46</v>
      </c>
      <c r="X806" t="s">
        <v>46</v>
      </c>
      <c r="Y806" t="s">
        <v>46</v>
      </c>
      <c r="Z806" t="s">
        <v>46</v>
      </c>
      <c r="AA806" t="s">
        <v>46</v>
      </c>
      <c r="AB806" s="2" t="s">
        <v>43</v>
      </c>
      <c r="AC806" t="s">
        <v>43</v>
      </c>
      <c r="AD806" t="s">
        <v>43</v>
      </c>
      <c r="AE806" t="s">
        <v>43</v>
      </c>
      <c r="AF806" t="s">
        <v>43</v>
      </c>
      <c r="AG806" t="s">
        <v>43</v>
      </c>
      <c r="AH806" s="2" t="s">
        <v>43</v>
      </c>
    </row>
    <row r="807" spans="1:34" ht="165">
      <c r="A807" s="6" t="s">
        <v>100</v>
      </c>
      <c r="B807" s="7">
        <v>46057</v>
      </c>
      <c r="C807" s="9" t="str">
        <f>HYPERLINK("https://eping.wto.org/en/Search?viewData= G/SPS/N/THA/797/Add.1"," G/SPS/N/THA/797/Add.1")</f>
        <v xml:space="preserve"> G/SPS/N/THA/797/Add.1</v>
      </c>
      <c r="D807" s="8" t="s">
        <v>3308</v>
      </c>
      <c r="E807" s="8" t="s">
        <v>3309</v>
      </c>
      <c r="F807" s="8" t="s">
        <v>1908</v>
      </c>
      <c r="G807" s="8" t="s">
        <v>3048</v>
      </c>
      <c r="H807" s="8" t="s">
        <v>43</v>
      </c>
      <c r="I807" s="8" t="s">
        <v>104</v>
      </c>
      <c r="J807" s="8" t="s">
        <v>43</v>
      </c>
      <c r="K807" s="8" t="s">
        <v>3310</v>
      </c>
      <c r="L807" s="6"/>
      <c r="M807" s="7" t="s">
        <v>43</v>
      </c>
      <c r="N807" s="7"/>
      <c r="O807" s="7"/>
      <c r="P807" s="6" t="s">
        <v>72</v>
      </c>
      <c r="Q807" s="6"/>
      <c r="R807" t="str">
        <f>HYPERLINK("https://docs.wto.org/imrd/directdoc.asp?DDFDocuments/t/G/SPS/NTHA797A1.docx", "https://docs.wto.org/imrd/directdoc.asp?DDFDocuments/t/G/SPS/NTHA797A1.docx")</f>
        <v>https://docs.wto.org/imrd/directdoc.asp?DDFDocuments/t/G/SPS/NTHA797A1.docx</v>
      </c>
      <c r="S807" t="str">
        <f>HYPERLINK("https://docs.wto.org/imrd/directdoc.asp?DDFDocuments/u/G/SPS/NTHA797A1.docx", "https://docs.wto.org/imrd/directdoc.asp?DDFDocuments/u/G/SPS/NTHA797A1.docx")</f>
        <v>https://docs.wto.org/imrd/directdoc.asp?DDFDocuments/u/G/SPS/NTHA797A1.docx</v>
      </c>
      <c r="T807" t="str">
        <f>HYPERLINK("https://docs.wto.org/imrd/directdoc.asp?DDFDocuments/v/G/SPS/NTHA797A1.docx", "https://docs.wto.org/imrd/directdoc.asp?DDFDocuments/v/G/SPS/NTHA797A1.docx")</f>
        <v>https://docs.wto.org/imrd/directdoc.asp?DDFDocuments/v/G/SPS/NTHA797A1.docx</v>
      </c>
      <c r="U807" t="s">
        <v>43</v>
      </c>
      <c r="V807" t="s">
        <v>43</v>
      </c>
      <c r="W807" t="s">
        <v>43</v>
      </c>
      <c r="X807" t="s">
        <v>43</v>
      </c>
      <c r="Y807" t="s">
        <v>43</v>
      </c>
      <c r="Z807" t="s">
        <v>43</v>
      </c>
      <c r="AA807" t="s">
        <v>43</v>
      </c>
      <c r="AB807" s="2" t="s">
        <v>43</v>
      </c>
      <c r="AC807" t="s">
        <v>43</v>
      </c>
      <c r="AD807" t="s">
        <v>43</v>
      </c>
      <c r="AE807" t="s">
        <v>43</v>
      </c>
      <c r="AF807" t="s">
        <v>43</v>
      </c>
      <c r="AG807" t="s">
        <v>43</v>
      </c>
      <c r="AH807" s="2" t="s">
        <v>43</v>
      </c>
    </row>
    <row r="808" spans="1:34" ht="90">
      <c r="A808" s="6" t="s">
        <v>509</v>
      </c>
      <c r="B808" s="7">
        <v>46057</v>
      </c>
      <c r="C808" s="9" t="str">
        <f>HYPERLINK("https://eping.wto.org/en/Search?viewData= G/TBT/N/BDI/205/Add.3, G/TBT/N/KEN/1201/Add.3, G/TBT/N/RWA/596/Add.3, G/TBT/N/TZA/696/Add.3, G/TBT/N/UGA/1536/Add.3"," G/TBT/N/BDI/205/Add.3, G/TBT/N/KEN/1201/Add.3, G/TBT/N/RWA/596/Add.3, G/TBT/N/TZA/696/Add.3, G/TBT/N/UGA/1536/Add.3")</f>
        <v xml:space="preserve"> G/TBT/N/BDI/205/Add.3, G/TBT/N/KEN/1201/Add.3, G/TBT/N/RWA/596/Add.3, G/TBT/N/TZA/696/Add.3, G/TBT/N/UGA/1536/Add.3</v>
      </c>
      <c r="D808" s="8" t="s">
        <v>3273</v>
      </c>
      <c r="E808" s="8" t="s">
        <v>3274</v>
      </c>
      <c r="F808" s="8" t="s">
        <v>3275</v>
      </c>
      <c r="G808" s="8" t="s">
        <v>3259</v>
      </c>
      <c r="H808" s="8" t="s">
        <v>3260</v>
      </c>
      <c r="I808" s="8" t="s">
        <v>3261</v>
      </c>
      <c r="J808" s="8" t="s">
        <v>43</v>
      </c>
      <c r="K808" s="8" t="s">
        <v>350</v>
      </c>
      <c r="L808" s="6"/>
      <c r="M808" s="7" t="s">
        <v>43</v>
      </c>
      <c r="N808" s="7"/>
      <c r="O808" s="7"/>
      <c r="P808" s="6" t="s">
        <v>44</v>
      </c>
      <c r="Q808" s="6"/>
      <c r="R808" t="str">
        <f>HYPERLINK("https://docs.wto.org/imrd/directdoc.asp?DDFDocuments/t/G/TBTN22/BDI205A3.docx", "https://docs.wto.org/imrd/directdoc.asp?DDFDocuments/t/G/TBTN22/BDI205A3.docx")</f>
        <v>https://docs.wto.org/imrd/directdoc.asp?DDFDocuments/t/G/TBTN22/BDI205A3.docx</v>
      </c>
      <c r="S808" t="str">
        <f>HYPERLINK("https://docs.wto.org/imrd/directdoc.asp?DDFDocuments/u/G/TBTN22/BDI205A3.docx", "https://docs.wto.org/imrd/directdoc.asp?DDFDocuments/u/G/TBTN22/BDI205A3.docx")</f>
        <v>https://docs.wto.org/imrd/directdoc.asp?DDFDocuments/u/G/TBTN22/BDI205A3.docx</v>
      </c>
      <c r="T808" t="str">
        <f>HYPERLINK("https://docs.wto.org/imrd/directdoc.asp?DDFDocuments/v/G/TBTN22/BDI205A3.docx", "https://docs.wto.org/imrd/directdoc.asp?DDFDocuments/v/G/TBTN22/BDI205A3.docx")</f>
        <v>https://docs.wto.org/imrd/directdoc.asp?DDFDocuments/v/G/TBTN22/BDI205A3.docx</v>
      </c>
      <c r="U808" t="s">
        <v>64</v>
      </c>
      <c r="V808" t="s">
        <v>46</v>
      </c>
      <c r="W808" t="s">
        <v>64</v>
      </c>
      <c r="X808" t="s">
        <v>46</v>
      </c>
      <c r="Y808" t="s">
        <v>46</v>
      </c>
      <c r="Z808" t="s">
        <v>46</v>
      </c>
      <c r="AA808" t="s">
        <v>46</v>
      </c>
      <c r="AB808" s="2" t="s">
        <v>43</v>
      </c>
      <c r="AC808" t="s">
        <v>43</v>
      </c>
      <c r="AD808" t="s">
        <v>43</v>
      </c>
      <c r="AE808" t="s">
        <v>43</v>
      </c>
      <c r="AF808" t="s">
        <v>43</v>
      </c>
      <c r="AG808" t="s">
        <v>43</v>
      </c>
      <c r="AH808" s="2" t="s">
        <v>43</v>
      </c>
    </row>
    <row r="809" spans="1:34" ht="90">
      <c r="A809" s="6" t="s">
        <v>108</v>
      </c>
      <c r="B809" s="7">
        <v>46057</v>
      </c>
      <c r="C809" s="9" t="str">
        <f>HYPERLINK("https://eping.wto.org/en/Search?viewData= G/TBT/N/BDI/276/Add.3, G/TBT/N/KEN/1310/Add.3, G/TBT/N/RWA/710/Add.3, G/TBT/N/TZA/829/Add.3, G/TBT/N/UGA/1684/Add.3"," G/TBT/N/BDI/276/Add.3, G/TBT/N/KEN/1310/Add.3, G/TBT/N/RWA/710/Add.3, G/TBT/N/TZA/829/Add.3, G/TBT/N/UGA/1684/Add.3")</f>
        <v xml:space="preserve"> G/TBT/N/BDI/276/Add.3, G/TBT/N/KEN/1310/Add.3, G/TBT/N/RWA/710/Add.3, G/TBT/N/TZA/829/Add.3, G/TBT/N/UGA/1684/Add.3</v>
      </c>
      <c r="D809" s="8" t="s">
        <v>3265</v>
      </c>
      <c r="E809" s="8" t="s">
        <v>3266</v>
      </c>
      <c r="F809" s="8" t="s">
        <v>3267</v>
      </c>
      <c r="G809" s="8" t="s">
        <v>3268</v>
      </c>
      <c r="H809" s="8" t="s">
        <v>3269</v>
      </c>
      <c r="I809" s="8" t="s">
        <v>2827</v>
      </c>
      <c r="J809" s="8" t="s">
        <v>43</v>
      </c>
      <c r="K809" s="8" t="s">
        <v>43</v>
      </c>
      <c r="L809" s="6"/>
      <c r="M809" s="7" t="s">
        <v>43</v>
      </c>
      <c r="N809" s="7"/>
      <c r="O809" s="7"/>
      <c r="P809" s="6" t="s">
        <v>44</v>
      </c>
      <c r="Q809" s="6"/>
      <c r="R809" t="str">
        <f>HYPERLINK("https://docs.wto.org/imrd/directdoc.asp?DDFDocuments/t/G/TBTN22/BDI276A3.docx", "https://docs.wto.org/imrd/directdoc.asp?DDFDocuments/t/G/TBTN22/BDI276A3.docx")</f>
        <v>https://docs.wto.org/imrd/directdoc.asp?DDFDocuments/t/G/TBTN22/BDI276A3.docx</v>
      </c>
      <c r="S809" t="str">
        <f>HYPERLINK("https://docs.wto.org/imrd/directdoc.asp?DDFDocuments/u/G/TBTN22/BDI276A3.docx", "https://docs.wto.org/imrd/directdoc.asp?DDFDocuments/u/G/TBTN22/BDI276A3.docx")</f>
        <v>https://docs.wto.org/imrd/directdoc.asp?DDFDocuments/u/G/TBTN22/BDI276A3.docx</v>
      </c>
      <c r="T809" t="str">
        <f>HYPERLINK("https://docs.wto.org/imrd/directdoc.asp?DDFDocuments/v/G/TBTN22/BDI276A3.docx", "https://docs.wto.org/imrd/directdoc.asp?DDFDocuments/v/G/TBTN22/BDI276A3.docx")</f>
        <v>https://docs.wto.org/imrd/directdoc.asp?DDFDocuments/v/G/TBTN22/BDI276A3.docx</v>
      </c>
      <c r="U809" t="s">
        <v>64</v>
      </c>
      <c r="V809" t="s">
        <v>46</v>
      </c>
      <c r="W809" t="s">
        <v>64</v>
      </c>
      <c r="X809" t="s">
        <v>46</v>
      </c>
      <c r="Y809" t="s">
        <v>46</v>
      </c>
      <c r="Z809" t="s">
        <v>46</v>
      </c>
      <c r="AA809" t="s">
        <v>46</v>
      </c>
      <c r="AB809" s="2" t="s">
        <v>43</v>
      </c>
      <c r="AC809" t="s">
        <v>43</v>
      </c>
      <c r="AD809" t="s">
        <v>43</v>
      </c>
      <c r="AE809" t="s">
        <v>43</v>
      </c>
      <c r="AF809" t="s">
        <v>43</v>
      </c>
      <c r="AG809" t="s">
        <v>43</v>
      </c>
      <c r="AH809" s="2" t="s">
        <v>43</v>
      </c>
    </row>
    <row r="810" spans="1:34" ht="90">
      <c r="A810" s="6" t="s">
        <v>390</v>
      </c>
      <c r="B810" s="7">
        <v>46057</v>
      </c>
      <c r="C810" s="9" t="str">
        <f>HYPERLINK("https://eping.wto.org/en/Search?viewData= G/TBT/N/BDI/276/Add.3, G/TBT/N/KEN/1310/Add.3, G/TBT/N/RWA/710/Add.3, G/TBT/N/TZA/829/Add.3, G/TBT/N/UGA/1684/Add.3"," G/TBT/N/BDI/276/Add.3, G/TBT/N/KEN/1310/Add.3, G/TBT/N/RWA/710/Add.3, G/TBT/N/TZA/829/Add.3, G/TBT/N/UGA/1684/Add.3")</f>
        <v xml:space="preserve"> G/TBT/N/BDI/276/Add.3, G/TBT/N/KEN/1310/Add.3, G/TBT/N/RWA/710/Add.3, G/TBT/N/TZA/829/Add.3, G/TBT/N/UGA/1684/Add.3</v>
      </c>
      <c r="D810" s="8" t="s">
        <v>3265</v>
      </c>
      <c r="E810" s="8" t="s">
        <v>3266</v>
      </c>
      <c r="F810" s="8" t="s">
        <v>3267</v>
      </c>
      <c r="G810" s="8" t="s">
        <v>3268</v>
      </c>
      <c r="H810" s="8" t="s">
        <v>3269</v>
      </c>
      <c r="I810" s="8" t="s">
        <v>2834</v>
      </c>
      <c r="J810" s="8" t="s">
        <v>43</v>
      </c>
      <c r="K810" s="8" t="s">
        <v>43</v>
      </c>
      <c r="L810" s="6"/>
      <c r="M810" s="7" t="s">
        <v>43</v>
      </c>
      <c r="N810" s="7"/>
      <c r="O810" s="7"/>
      <c r="P810" s="6" t="s">
        <v>44</v>
      </c>
      <c r="Q810" s="6"/>
      <c r="R810" t="str">
        <f>HYPERLINK("https://docs.wto.org/imrd/directdoc.asp?DDFDocuments/t/G/TBTN22/BDI276A3.docx", "https://docs.wto.org/imrd/directdoc.asp?DDFDocuments/t/G/TBTN22/BDI276A3.docx")</f>
        <v>https://docs.wto.org/imrd/directdoc.asp?DDFDocuments/t/G/TBTN22/BDI276A3.docx</v>
      </c>
      <c r="S810" t="str">
        <f>HYPERLINK("https://docs.wto.org/imrd/directdoc.asp?DDFDocuments/u/G/TBTN22/BDI276A3.docx", "https://docs.wto.org/imrd/directdoc.asp?DDFDocuments/u/G/TBTN22/BDI276A3.docx")</f>
        <v>https://docs.wto.org/imrd/directdoc.asp?DDFDocuments/u/G/TBTN22/BDI276A3.docx</v>
      </c>
      <c r="T810" t="str">
        <f>HYPERLINK("https://docs.wto.org/imrd/directdoc.asp?DDFDocuments/v/G/TBTN22/BDI276A3.docx", "https://docs.wto.org/imrd/directdoc.asp?DDFDocuments/v/G/TBTN22/BDI276A3.docx")</f>
        <v>https://docs.wto.org/imrd/directdoc.asp?DDFDocuments/v/G/TBTN22/BDI276A3.docx</v>
      </c>
      <c r="U810" t="s">
        <v>64</v>
      </c>
      <c r="V810" t="s">
        <v>46</v>
      </c>
      <c r="W810" t="s">
        <v>64</v>
      </c>
      <c r="X810" t="s">
        <v>46</v>
      </c>
      <c r="Y810" t="s">
        <v>46</v>
      </c>
      <c r="Z810" t="s">
        <v>46</v>
      </c>
      <c r="AA810" t="s">
        <v>46</v>
      </c>
      <c r="AB810" s="2" t="s">
        <v>43</v>
      </c>
      <c r="AC810" t="s">
        <v>43</v>
      </c>
      <c r="AD810" t="s">
        <v>43</v>
      </c>
      <c r="AE810" t="s">
        <v>43</v>
      </c>
      <c r="AF810" t="s">
        <v>43</v>
      </c>
      <c r="AG810" t="s">
        <v>43</v>
      </c>
      <c r="AH810" s="2" t="s">
        <v>43</v>
      </c>
    </row>
    <row r="811" spans="1:34" ht="75">
      <c r="A811" s="6" t="s">
        <v>577</v>
      </c>
      <c r="B811" s="7">
        <v>46057</v>
      </c>
      <c r="C811" s="9" t="str">
        <f>HYPERLINK("https://eping.wto.org/en/Search?viewData= G/TBT/N/BDI/208/Add.3, G/TBT/N/KEN/1204/Add.3, G/TBT/N/RWA/599/Add.3, G/TBT/N/TZA/699/Add.3, G/TBT/N/UGA/1539/Add.3"," G/TBT/N/BDI/208/Add.3, G/TBT/N/KEN/1204/Add.3, G/TBT/N/RWA/599/Add.3, G/TBT/N/TZA/699/Add.3, G/TBT/N/UGA/1539/Add.3")</f>
        <v xml:space="preserve"> G/TBT/N/BDI/208/Add.3, G/TBT/N/KEN/1204/Add.3, G/TBT/N/RWA/599/Add.3, G/TBT/N/TZA/699/Add.3, G/TBT/N/UGA/1539/Add.3</v>
      </c>
      <c r="D811" s="8" t="s">
        <v>3303</v>
      </c>
      <c r="E811" s="8" t="s">
        <v>3304</v>
      </c>
      <c r="F811" s="8" t="s">
        <v>3305</v>
      </c>
      <c r="G811" s="8" t="s">
        <v>3306</v>
      </c>
      <c r="H811" s="8" t="s">
        <v>3260</v>
      </c>
      <c r="I811" s="8" t="s">
        <v>3307</v>
      </c>
      <c r="J811" s="8" t="s">
        <v>43</v>
      </c>
      <c r="K811" s="8" t="s">
        <v>43</v>
      </c>
      <c r="L811" s="6"/>
      <c r="M811" s="7" t="s">
        <v>43</v>
      </c>
      <c r="N811" s="7"/>
      <c r="O811" s="7"/>
      <c r="P811" s="6" t="s">
        <v>44</v>
      </c>
      <c r="Q811" s="6"/>
      <c r="R811" t="str">
        <f>HYPERLINK("https://docs.wto.org/imrd/directdoc.asp?DDFDocuments/t/G/TBTN22/BDI208A3.docx", "https://docs.wto.org/imrd/directdoc.asp?DDFDocuments/t/G/TBTN22/BDI208A3.docx")</f>
        <v>https://docs.wto.org/imrd/directdoc.asp?DDFDocuments/t/G/TBTN22/BDI208A3.docx</v>
      </c>
      <c r="S811" t="str">
        <f>HYPERLINK("https://docs.wto.org/imrd/directdoc.asp?DDFDocuments/u/G/TBTN22/BDI208A3.docx", "https://docs.wto.org/imrd/directdoc.asp?DDFDocuments/u/G/TBTN22/BDI208A3.docx")</f>
        <v>https://docs.wto.org/imrd/directdoc.asp?DDFDocuments/u/G/TBTN22/BDI208A3.docx</v>
      </c>
      <c r="T811" t="str">
        <f>HYPERLINK("https://docs.wto.org/imrd/directdoc.asp?DDFDocuments/v/G/TBTN22/BDI208A3.docx", "https://docs.wto.org/imrd/directdoc.asp?DDFDocuments/v/G/TBTN22/BDI208A3.docx")</f>
        <v>https://docs.wto.org/imrd/directdoc.asp?DDFDocuments/v/G/TBTN22/BDI208A3.docx</v>
      </c>
      <c r="U811" t="s">
        <v>46</v>
      </c>
      <c r="V811" t="s">
        <v>46</v>
      </c>
      <c r="W811" t="s">
        <v>64</v>
      </c>
      <c r="X811" t="s">
        <v>46</v>
      </c>
      <c r="Y811" t="s">
        <v>46</v>
      </c>
      <c r="Z811" t="s">
        <v>46</v>
      </c>
      <c r="AA811" t="s">
        <v>46</v>
      </c>
      <c r="AB811" s="2" t="s">
        <v>43</v>
      </c>
      <c r="AC811" t="s">
        <v>43</v>
      </c>
      <c r="AD811" t="s">
        <v>43</v>
      </c>
      <c r="AE811" t="s">
        <v>43</v>
      </c>
      <c r="AF811" t="s">
        <v>43</v>
      </c>
      <c r="AG811" t="s">
        <v>43</v>
      </c>
      <c r="AH811" s="2" t="s">
        <v>43</v>
      </c>
    </row>
    <row r="812" spans="1:34" ht="90">
      <c r="A812" s="6" t="s">
        <v>577</v>
      </c>
      <c r="B812" s="7">
        <v>46057</v>
      </c>
      <c r="C812" s="9" t="str">
        <f>HYPERLINK("https://eping.wto.org/en/Search?viewData= G/TBT/N/BDI/209/Add.3, G/TBT/N/KEN/1205/Add.3, G/TBT/N/RWA/600/Add.3, G/TBT/N/TZA/700/Add.3, G/TBT/N/UGA/1540/Add.3"," G/TBT/N/BDI/209/Add.3, G/TBT/N/KEN/1205/Add.3, G/TBT/N/RWA/600/Add.3, G/TBT/N/TZA/700/Add.3, G/TBT/N/UGA/1540/Add.3")</f>
        <v xml:space="preserve"> G/TBT/N/BDI/209/Add.3, G/TBT/N/KEN/1205/Add.3, G/TBT/N/RWA/600/Add.3, G/TBT/N/TZA/700/Add.3, G/TBT/N/UGA/1540/Add.3</v>
      </c>
      <c r="D812" s="8" t="s">
        <v>3256</v>
      </c>
      <c r="E812" s="8" t="s">
        <v>3257</v>
      </c>
      <c r="F812" s="8" t="s">
        <v>3258</v>
      </c>
      <c r="G812" s="8" t="s">
        <v>3259</v>
      </c>
      <c r="H812" s="8" t="s">
        <v>3260</v>
      </c>
      <c r="I812" s="8" t="s">
        <v>3261</v>
      </c>
      <c r="J812" s="8" t="s">
        <v>43</v>
      </c>
      <c r="K812" s="8" t="s">
        <v>43</v>
      </c>
      <c r="L812" s="6"/>
      <c r="M812" s="7" t="s">
        <v>43</v>
      </c>
      <c r="N812" s="7"/>
      <c r="O812" s="7"/>
      <c r="P812" s="6" t="s">
        <v>44</v>
      </c>
      <c r="Q812" s="6"/>
      <c r="R812" t="str">
        <f>HYPERLINK("https://docs.wto.org/imrd/directdoc.asp?DDFDocuments/t/G/TBTN22/BDI209A3.docx", "https://docs.wto.org/imrd/directdoc.asp?DDFDocuments/t/G/TBTN22/BDI209A3.docx")</f>
        <v>https://docs.wto.org/imrd/directdoc.asp?DDFDocuments/t/G/TBTN22/BDI209A3.docx</v>
      </c>
      <c r="S812" t="str">
        <f>HYPERLINK("https://docs.wto.org/imrd/directdoc.asp?DDFDocuments/u/G/TBTN22/BDI209A3.docx", "https://docs.wto.org/imrd/directdoc.asp?DDFDocuments/u/G/TBTN22/BDI209A3.docx")</f>
        <v>https://docs.wto.org/imrd/directdoc.asp?DDFDocuments/u/G/TBTN22/BDI209A3.docx</v>
      </c>
      <c r="T812" t="str">
        <f>HYPERLINK("https://docs.wto.org/imrd/directdoc.asp?DDFDocuments/v/G/TBTN22/BDI209A3.docx", "https://docs.wto.org/imrd/directdoc.asp?DDFDocuments/v/G/TBTN22/BDI209A3.docx")</f>
        <v>https://docs.wto.org/imrd/directdoc.asp?DDFDocuments/v/G/TBTN22/BDI209A3.docx</v>
      </c>
      <c r="U812" t="s">
        <v>64</v>
      </c>
      <c r="V812" t="s">
        <v>46</v>
      </c>
      <c r="W812" t="s">
        <v>64</v>
      </c>
      <c r="X812" t="s">
        <v>46</v>
      </c>
      <c r="Y812" t="s">
        <v>46</v>
      </c>
      <c r="Z812" t="s">
        <v>46</v>
      </c>
      <c r="AA812" t="s">
        <v>46</v>
      </c>
      <c r="AB812" s="2" t="s">
        <v>43</v>
      </c>
      <c r="AC812" t="s">
        <v>43</v>
      </c>
      <c r="AD812" t="s">
        <v>43</v>
      </c>
      <c r="AE812" t="s">
        <v>43</v>
      </c>
      <c r="AF812" t="s">
        <v>43</v>
      </c>
      <c r="AG812" t="s">
        <v>43</v>
      </c>
      <c r="AH812" s="2" t="s">
        <v>43</v>
      </c>
    </row>
    <row r="813" spans="1:34" ht="90">
      <c r="A813" s="6" t="s">
        <v>577</v>
      </c>
      <c r="B813" s="7">
        <v>46057</v>
      </c>
      <c r="C813" s="9" t="str">
        <f>HYPERLINK("https://eping.wto.org/en/Search?viewData= G/TBT/N/BDI/205/Add.3, G/TBT/N/KEN/1201/Add.3, G/TBT/N/RWA/596/Add.3, G/TBT/N/TZA/696/Add.3, G/TBT/N/UGA/1536/Add.3"," G/TBT/N/BDI/205/Add.3, G/TBT/N/KEN/1201/Add.3, G/TBT/N/RWA/596/Add.3, G/TBT/N/TZA/696/Add.3, G/TBT/N/UGA/1536/Add.3")</f>
        <v xml:space="preserve"> G/TBT/N/BDI/205/Add.3, G/TBT/N/KEN/1201/Add.3, G/TBT/N/RWA/596/Add.3, G/TBT/N/TZA/696/Add.3, G/TBT/N/UGA/1536/Add.3</v>
      </c>
      <c r="D813" s="8" t="s">
        <v>3273</v>
      </c>
      <c r="E813" s="8" t="s">
        <v>3274</v>
      </c>
      <c r="F813" s="8" t="s">
        <v>3275</v>
      </c>
      <c r="G813" s="8" t="s">
        <v>3259</v>
      </c>
      <c r="H813" s="8" t="s">
        <v>3260</v>
      </c>
      <c r="I813" s="8" t="s">
        <v>3261</v>
      </c>
      <c r="J813" s="8" t="s">
        <v>43</v>
      </c>
      <c r="K813" s="8" t="s">
        <v>350</v>
      </c>
      <c r="L813" s="6"/>
      <c r="M813" s="7" t="s">
        <v>43</v>
      </c>
      <c r="N813" s="7"/>
      <c r="O813" s="7"/>
      <c r="P813" s="6" t="s">
        <v>44</v>
      </c>
      <c r="Q813" s="6"/>
      <c r="R813" t="str">
        <f>HYPERLINK("https://docs.wto.org/imrd/directdoc.asp?DDFDocuments/t/G/TBTN22/BDI205A3.docx", "https://docs.wto.org/imrd/directdoc.asp?DDFDocuments/t/G/TBTN22/BDI205A3.docx")</f>
        <v>https://docs.wto.org/imrd/directdoc.asp?DDFDocuments/t/G/TBTN22/BDI205A3.docx</v>
      </c>
      <c r="S813" t="str">
        <f>HYPERLINK("https://docs.wto.org/imrd/directdoc.asp?DDFDocuments/u/G/TBTN22/BDI205A3.docx", "https://docs.wto.org/imrd/directdoc.asp?DDFDocuments/u/G/TBTN22/BDI205A3.docx")</f>
        <v>https://docs.wto.org/imrd/directdoc.asp?DDFDocuments/u/G/TBTN22/BDI205A3.docx</v>
      </c>
      <c r="T813" t="str">
        <f>HYPERLINK("https://docs.wto.org/imrd/directdoc.asp?DDFDocuments/v/G/TBTN22/BDI205A3.docx", "https://docs.wto.org/imrd/directdoc.asp?DDFDocuments/v/G/TBTN22/BDI205A3.docx")</f>
        <v>https://docs.wto.org/imrd/directdoc.asp?DDFDocuments/v/G/TBTN22/BDI205A3.docx</v>
      </c>
      <c r="U813" t="s">
        <v>64</v>
      </c>
      <c r="V813" t="s">
        <v>46</v>
      </c>
      <c r="W813" t="s">
        <v>64</v>
      </c>
      <c r="X813" t="s">
        <v>46</v>
      </c>
      <c r="Y813" t="s">
        <v>46</v>
      </c>
      <c r="Z813" t="s">
        <v>46</v>
      </c>
      <c r="AA813" t="s">
        <v>46</v>
      </c>
      <c r="AB813" s="2" t="s">
        <v>43</v>
      </c>
      <c r="AC813" t="s">
        <v>43</v>
      </c>
      <c r="AD813" t="s">
        <v>43</v>
      </c>
      <c r="AE813" t="s">
        <v>43</v>
      </c>
      <c r="AF813" t="s">
        <v>43</v>
      </c>
      <c r="AG813" t="s">
        <v>43</v>
      </c>
      <c r="AH813" s="2" t="s">
        <v>43</v>
      </c>
    </row>
    <row r="814" spans="1:34" ht="90">
      <c r="A814" s="6" t="s">
        <v>509</v>
      </c>
      <c r="B814" s="7">
        <v>46057</v>
      </c>
      <c r="C814" s="9" t="str">
        <f>HYPERLINK("https://eping.wto.org/en/Search?viewData= G/TBT/N/BDI/205/Add.4, G/TBT/N/KEN/1201/Add.4, G/TBT/N/RWA/596/Add.4, G/TBT/N/TZA/696/Add.4, G/TBT/N/UGA/1536/Add.4"," G/TBT/N/BDI/205/Add.4, G/TBT/N/KEN/1201/Add.4, G/TBT/N/RWA/596/Add.4, G/TBT/N/TZA/696/Add.4, G/TBT/N/UGA/1536/Add.4")</f>
        <v xml:space="preserve"> G/TBT/N/BDI/205/Add.4, G/TBT/N/KEN/1201/Add.4, G/TBT/N/RWA/596/Add.4, G/TBT/N/TZA/696/Add.4, G/TBT/N/UGA/1536/Add.4</v>
      </c>
      <c r="D814" s="8" t="s">
        <v>3273</v>
      </c>
      <c r="E814" s="8" t="s">
        <v>3297</v>
      </c>
      <c r="F814" s="8" t="s">
        <v>3275</v>
      </c>
      <c r="G814" s="8" t="s">
        <v>3259</v>
      </c>
      <c r="H814" s="8" t="s">
        <v>3260</v>
      </c>
      <c r="I814" s="8" t="s">
        <v>3261</v>
      </c>
      <c r="J814" s="8" t="s">
        <v>43</v>
      </c>
      <c r="K814" s="8" t="s">
        <v>350</v>
      </c>
      <c r="L814" s="6"/>
      <c r="M814" s="7" t="s">
        <v>43</v>
      </c>
      <c r="N814" s="7"/>
      <c r="O814" s="7"/>
      <c r="P814" s="6" t="s">
        <v>44</v>
      </c>
      <c r="Q814" s="6"/>
      <c r="R814" t="str">
        <f>HYPERLINK("https://docs.wto.org/imrd/directdoc.asp?DDFDocuments/t/G/TBTN22/BDI205A4.docx", "https://docs.wto.org/imrd/directdoc.asp?DDFDocuments/t/G/TBTN22/BDI205A4.docx")</f>
        <v>https://docs.wto.org/imrd/directdoc.asp?DDFDocuments/t/G/TBTN22/BDI205A4.docx</v>
      </c>
      <c r="S814" t="str">
        <f>HYPERLINK("https://docs.wto.org/imrd/directdoc.asp?DDFDocuments/u/G/TBTN22/BDI205A4.docx", "https://docs.wto.org/imrd/directdoc.asp?DDFDocuments/u/G/TBTN22/BDI205A4.docx")</f>
        <v>https://docs.wto.org/imrd/directdoc.asp?DDFDocuments/u/G/TBTN22/BDI205A4.docx</v>
      </c>
      <c r="T814" t="str">
        <f>HYPERLINK("https://docs.wto.org/imrd/directdoc.asp?DDFDocuments/v/G/TBTN22/BDI205A4.docx", "https://docs.wto.org/imrd/directdoc.asp?DDFDocuments/v/G/TBTN22/BDI205A4.docx")</f>
        <v>https://docs.wto.org/imrd/directdoc.asp?DDFDocuments/v/G/TBTN22/BDI205A4.docx</v>
      </c>
      <c r="U814" t="s">
        <v>64</v>
      </c>
      <c r="V814" t="s">
        <v>46</v>
      </c>
      <c r="W814" t="s">
        <v>64</v>
      </c>
      <c r="X814" t="s">
        <v>46</v>
      </c>
      <c r="Y814" t="s">
        <v>46</v>
      </c>
      <c r="Z814" t="s">
        <v>46</v>
      </c>
      <c r="AA814" t="s">
        <v>46</v>
      </c>
      <c r="AB814" s="2" t="s">
        <v>43</v>
      </c>
      <c r="AC814" t="s">
        <v>43</v>
      </c>
      <c r="AD814" t="s">
        <v>43</v>
      </c>
      <c r="AE814" t="s">
        <v>43</v>
      </c>
      <c r="AF814" t="s">
        <v>43</v>
      </c>
      <c r="AG814" t="s">
        <v>43</v>
      </c>
      <c r="AH814" s="2" t="s">
        <v>43</v>
      </c>
    </row>
    <row r="815" spans="1:34" ht="165">
      <c r="A815" s="6" t="s">
        <v>100</v>
      </c>
      <c r="B815" s="7">
        <v>46057</v>
      </c>
      <c r="C815" s="9" t="str">
        <f>HYPERLINK("https://eping.wto.org/en/Search?viewData= G/SPS/N/THA/787/Add.1"," G/SPS/N/THA/787/Add.1")</f>
        <v xml:space="preserve"> G/SPS/N/THA/787/Add.1</v>
      </c>
      <c r="D815" s="8" t="s">
        <v>3311</v>
      </c>
      <c r="E815" s="8" t="s">
        <v>3312</v>
      </c>
      <c r="F815" s="8" t="s">
        <v>1908</v>
      </c>
      <c r="G815" s="8" t="s">
        <v>3048</v>
      </c>
      <c r="H815" s="8" t="s">
        <v>43</v>
      </c>
      <c r="I815" s="8" t="s">
        <v>104</v>
      </c>
      <c r="J815" s="8" t="s">
        <v>43</v>
      </c>
      <c r="K815" s="8" t="s">
        <v>3313</v>
      </c>
      <c r="L815" s="6"/>
      <c r="M815" s="7" t="s">
        <v>43</v>
      </c>
      <c r="N815" s="7"/>
      <c r="O815" s="7"/>
      <c r="P815" s="6" t="s">
        <v>72</v>
      </c>
      <c r="Q815" s="6"/>
      <c r="R815" t="str">
        <f>HYPERLINK("https://docs.wto.org/imrd/directdoc.asp?DDFDocuments/t/G/SPS/NTHA787A1.docx", "https://docs.wto.org/imrd/directdoc.asp?DDFDocuments/t/G/SPS/NTHA787A1.docx")</f>
        <v>https://docs.wto.org/imrd/directdoc.asp?DDFDocuments/t/G/SPS/NTHA787A1.docx</v>
      </c>
      <c r="S815" t="str">
        <f>HYPERLINK("https://docs.wto.org/imrd/directdoc.asp?DDFDocuments/u/G/SPS/NTHA787A1.docx", "https://docs.wto.org/imrd/directdoc.asp?DDFDocuments/u/G/SPS/NTHA787A1.docx")</f>
        <v>https://docs.wto.org/imrd/directdoc.asp?DDFDocuments/u/G/SPS/NTHA787A1.docx</v>
      </c>
      <c r="T815" t="str">
        <f>HYPERLINK("https://docs.wto.org/imrd/directdoc.asp?DDFDocuments/v/G/SPS/NTHA787A1.docx", "https://docs.wto.org/imrd/directdoc.asp?DDFDocuments/v/G/SPS/NTHA787A1.docx")</f>
        <v>https://docs.wto.org/imrd/directdoc.asp?DDFDocuments/v/G/SPS/NTHA787A1.docx</v>
      </c>
      <c r="U815" t="s">
        <v>43</v>
      </c>
      <c r="V815" t="s">
        <v>43</v>
      </c>
      <c r="W815" t="s">
        <v>43</v>
      </c>
      <c r="X815" t="s">
        <v>43</v>
      </c>
      <c r="Y815" t="s">
        <v>43</v>
      </c>
      <c r="Z815" t="s">
        <v>43</v>
      </c>
      <c r="AA815" t="s">
        <v>43</v>
      </c>
      <c r="AB815" s="2" t="s">
        <v>43</v>
      </c>
      <c r="AC815" t="s">
        <v>43</v>
      </c>
      <c r="AD815" t="s">
        <v>43</v>
      </c>
      <c r="AE815" t="s">
        <v>43</v>
      </c>
      <c r="AF815" t="s">
        <v>43</v>
      </c>
      <c r="AG815" t="s">
        <v>43</v>
      </c>
      <c r="AH815" s="2" t="s">
        <v>43</v>
      </c>
    </row>
    <row r="816" spans="1:34" ht="180">
      <c r="A816" s="6" t="s">
        <v>100</v>
      </c>
      <c r="B816" s="7">
        <v>46057</v>
      </c>
      <c r="C816" s="9" t="str">
        <f>HYPERLINK("https://eping.wto.org/en/Search?viewData= G/SPS/N/THA/792/Add.1"," G/SPS/N/THA/792/Add.1")</f>
        <v xml:space="preserve"> G/SPS/N/THA/792/Add.1</v>
      </c>
      <c r="D816" s="8" t="s">
        <v>3314</v>
      </c>
      <c r="E816" s="8" t="s">
        <v>3315</v>
      </c>
      <c r="F816" s="8" t="s">
        <v>3316</v>
      </c>
      <c r="G816" s="8" t="s">
        <v>3048</v>
      </c>
      <c r="H816" s="8" t="s">
        <v>43</v>
      </c>
      <c r="I816" s="8" t="s">
        <v>104</v>
      </c>
      <c r="J816" s="8" t="s">
        <v>43</v>
      </c>
      <c r="K816" s="8" t="s">
        <v>3317</v>
      </c>
      <c r="L816" s="6"/>
      <c r="M816" s="7" t="s">
        <v>43</v>
      </c>
      <c r="N816" s="7"/>
      <c r="O816" s="7"/>
      <c r="P816" s="6" t="s">
        <v>72</v>
      </c>
      <c r="Q816" s="6"/>
      <c r="R816" t="str">
        <f>HYPERLINK("https://docs.wto.org/imrd/directdoc.asp?DDFDocuments/t/G/SPS/NTHA792A1.docx", "https://docs.wto.org/imrd/directdoc.asp?DDFDocuments/t/G/SPS/NTHA792A1.docx")</f>
        <v>https://docs.wto.org/imrd/directdoc.asp?DDFDocuments/t/G/SPS/NTHA792A1.docx</v>
      </c>
      <c r="S816" t="str">
        <f>HYPERLINK("https://docs.wto.org/imrd/directdoc.asp?DDFDocuments/u/G/SPS/NTHA792A1.docx", "https://docs.wto.org/imrd/directdoc.asp?DDFDocuments/u/G/SPS/NTHA792A1.docx")</f>
        <v>https://docs.wto.org/imrd/directdoc.asp?DDFDocuments/u/G/SPS/NTHA792A1.docx</v>
      </c>
      <c r="T816" t="str">
        <f>HYPERLINK("https://docs.wto.org/imrd/directdoc.asp?DDFDocuments/v/G/SPS/NTHA792A1.docx", "https://docs.wto.org/imrd/directdoc.asp?DDFDocuments/v/G/SPS/NTHA792A1.docx")</f>
        <v>https://docs.wto.org/imrd/directdoc.asp?DDFDocuments/v/G/SPS/NTHA792A1.docx</v>
      </c>
      <c r="U816" t="s">
        <v>43</v>
      </c>
      <c r="V816" t="s">
        <v>43</v>
      </c>
      <c r="W816" t="s">
        <v>43</v>
      </c>
      <c r="X816" t="s">
        <v>43</v>
      </c>
      <c r="Y816" t="s">
        <v>43</v>
      </c>
      <c r="Z816" t="s">
        <v>43</v>
      </c>
      <c r="AA816" t="s">
        <v>43</v>
      </c>
      <c r="AB816" s="2" t="s">
        <v>43</v>
      </c>
      <c r="AC816" t="s">
        <v>43</v>
      </c>
      <c r="AD816" t="s">
        <v>43</v>
      </c>
      <c r="AE816" t="s">
        <v>43</v>
      </c>
      <c r="AF816" t="s">
        <v>43</v>
      </c>
      <c r="AG816" t="s">
        <v>43</v>
      </c>
      <c r="AH816" s="2" t="s">
        <v>43</v>
      </c>
    </row>
    <row r="817" spans="1:34" ht="75">
      <c r="A817" s="6" t="s">
        <v>390</v>
      </c>
      <c r="B817" s="7">
        <v>46057</v>
      </c>
      <c r="C817" s="9" t="str">
        <f>HYPERLINK("https://eping.wto.org/en/Search?viewData= G/TBT/N/BDI/208/Add.3, G/TBT/N/KEN/1204/Add.3, G/TBT/N/RWA/599/Add.3, G/TBT/N/TZA/699/Add.3, G/TBT/N/UGA/1539/Add.3"," G/TBT/N/BDI/208/Add.3, G/TBT/N/KEN/1204/Add.3, G/TBT/N/RWA/599/Add.3, G/TBT/N/TZA/699/Add.3, G/TBT/N/UGA/1539/Add.3")</f>
        <v xml:space="preserve"> G/TBT/N/BDI/208/Add.3, G/TBT/N/KEN/1204/Add.3, G/TBT/N/RWA/599/Add.3, G/TBT/N/TZA/699/Add.3, G/TBT/N/UGA/1539/Add.3</v>
      </c>
      <c r="D817" s="8" t="s">
        <v>3303</v>
      </c>
      <c r="E817" s="8" t="s">
        <v>3304</v>
      </c>
      <c r="F817" s="8" t="s">
        <v>3305</v>
      </c>
      <c r="G817" s="8" t="s">
        <v>3306</v>
      </c>
      <c r="H817" s="8" t="s">
        <v>3260</v>
      </c>
      <c r="I817" s="8" t="s">
        <v>3318</v>
      </c>
      <c r="J817" s="8" t="s">
        <v>43</v>
      </c>
      <c r="K817" s="8" t="s">
        <v>43</v>
      </c>
      <c r="L817" s="6"/>
      <c r="M817" s="7" t="s">
        <v>43</v>
      </c>
      <c r="N817" s="7"/>
      <c r="O817" s="7"/>
      <c r="P817" s="6" t="s">
        <v>44</v>
      </c>
      <c r="Q817" s="6"/>
      <c r="R817" t="str">
        <f>HYPERLINK("https://docs.wto.org/imrd/directdoc.asp?DDFDocuments/t/G/TBTN22/BDI208A3.docx", "https://docs.wto.org/imrd/directdoc.asp?DDFDocuments/t/G/TBTN22/BDI208A3.docx")</f>
        <v>https://docs.wto.org/imrd/directdoc.asp?DDFDocuments/t/G/TBTN22/BDI208A3.docx</v>
      </c>
      <c r="S817" t="str">
        <f>HYPERLINK("https://docs.wto.org/imrd/directdoc.asp?DDFDocuments/u/G/TBTN22/BDI208A3.docx", "https://docs.wto.org/imrd/directdoc.asp?DDFDocuments/u/G/TBTN22/BDI208A3.docx")</f>
        <v>https://docs.wto.org/imrd/directdoc.asp?DDFDocuments/u/G/TBTN22/BDI208A3.docx</v>
      </c>
      <c r="T817" t="str">
        <f>HYPERLINK("https://docs.wto.org/imrd/directdoc.asp?DDFDocuments/v/G/TBTN22/BDI208A3.docx", "https://docs.wto.org/imrd/directdoc.asp?DDFDocuments/v/G/TBTN22/BDI208A3.docx")</f>
        <v>https://docs.wto.org/imrd/directdoc.asp?DDFDocuments/v/G/TBTN22/BDI208A3.docx</v>
      </c>
      <c r="U817" t="s">
        <v>46</v>
      </c>
      <c r="V817" t="s">
        <v>46</v>
      </c>
      <c r="W817" t="s">
        <v>64</v>
      </c>
      <c r="X817" t="s">
        <v>46</v>
      </c>
      <c r="Y817" t="s">
        <v>46</v>
      </c>
      <c r="Z817" t="s">
        <v>46</v>
      </c>
      <c r="AA817" t="s">
        <v>46</v>
      </c>
      <c r="AB817" s="2" t="s">
        <v>43</v>
      </c>
      <c r="AC817" t="s">
        <v>43</v>
      </c>
      <c r="AD817" t="s">
        <v>43</v>
      </c>
      <c r="AE817" t="s">
        <v>43</v>
      </c>
      <c r="AF817" t="s">
        <v>43</v>
      </c>
      <c r="AG817" t="s">
        <v>43</v>
      </c>
      <c r="AH817" s="2" t="s">
        <v>43</v>
      </c>
    </row>
    <row r="818" spans="1:34" ht="75">
      <c r="A818" s="6" t="s">
        <v>390</v>
      </c>
      <c r="B818" s="7">
        <v>46057</v>
      </c>
      <c r="C818" s="9" t="str">
        <f>HYPERLINK("https://eping.wto.org/en/Search?viewData= G/TBT/N/BDI/206/Add.3, G/TBT/N/KEN/1202/Add.3, G/TBT/N/RWA/597/Add.3, G/TBT/N/TZA/697/Add.3, G/TBT/N/UGA/1537/Add.3"," G/TBT/N/BDI/206/Add.3, G/TBT/N/KEN/1202/Add.3, G/TBT/N/RWA/597/Add.3, G/TBT/N/TZA/697/Add.3, G/TBT/N/UGA/1537/Add.3")</f>
        <v xml:space="preserve"> G/TBT/N/BDI/206/Add.3, G/TBT/N/KEN/1202/Add.3, G/TBT/N/RWA/597/Add.3, G/TBT/N/TZA/697/Add.3, G/TBT/N/UGA/1537/Add.3</v>
      </c>
      <c r="D818" s="8" t="s">
        <v>3262</v>
      </c>
      <c r="E818" s="8" t="s">
        <v>3263</v>
      </c>
      <c r="F818" s="8" t="s">
        <v>3264</v>
      </c>
      <c r="G818" s="8" t="s">
        <v>3259</v>
      </c>
      <c r="H818" s="8" t="s">
        <v>3260</v>
      </c>
      <c r="I818" s="8" t="s">
        <v>1035</v>
      </c>
      <c r="J818" s="8" t="s">
        <v>43</v>
      </c>
      <c r="K818" s="8" t="s">
        <v>43</v>
      </c>
      <c r="L818" s="6"/>
      <c r="M818" s="7" t="s">
        <v>43</v>
      </c>
      <c r="N818" s="7"/>
      <c r="O818" s="7"/>
      <c r="P818" s="6" t="s">
        <v>44</v>
      </c>
      <c r="Q818" s="6"/>
      <c r="R818" t="str">
        <f>HYPERLINK("https://docs.wto.org/imrd/directdoc.asp?DDFDocuments/t/G/TBTN22/BDI206A3.docx", "https://docs.wto.org/imrd/directdoc.asp?DDFDocuments/t/G/TBTN22/BDI206A3.docx")</f>
        <v>https://docs.wto.org/imrd/directdoc.asp?DDFDocuments/t/G/TBTN22/BDI206A3.docx</v>
      </c>
      <c r="S818" t="str">
        <f>HYPERLINK("https://docs.wto.org/imrd/directdoc.asp?DDFDocuments/u/G/TBTN22/BDI206A3.docx", "https://docs.wto.org/imrd/directdoc.asp?DDFDocuments/u/G/TBTN22/BDI206A3.docx")</f>
        <v>https://docs.wto.org/imrd/directdoc.asp?DDFDocuments/u/G/TBTN22/BDI206A3.docx</v>
      </c>
      <c r="T818" t="str">
        <f>HYPERLINK("https://docs.wto.org/imrd/directdoc.asp?DDFDocuments/v/G/TBTN22/BDI206A3.docx", "https://docs.wto.org/imrd/directdoc.asp?DDFDocuments/v/G/TBTN22/BDI206A3.docx")</f>
        <v>https://docs.wto.org/imrd/directdoc.asp?DDFDocuments/v/G/TBTN22/BDI206A3.docx</v>
      </c>
      <c r="U818" t="s">
        <v>64</v>
      </c>
      <c r="V818" t="s">
        <v>46</v>
      </c>
      <c r="W818" t="s">
        <v>64</v>
      </c>
      <c r="X818" t="s">
        <v>46</v>
      </c>
      <c r="Y818" t="s">
        <v>46</v>
      </c>
      <c r="Z818" t="s">
        <v>46</v>
      </c>
      <c r="AA818" t="s">
        <v>46</v>
      </c>
      <c r="AB818" s="2" t="s">
        <v>43</v>
      </c>
      <c r="AC818" t="s">
        <v>43</v>
      </c>
      <c r="AD818" t="s">
        <v>43</v>
      </c>
      <c r="AE818" t="s">
        <v>43</v>
      </c>
      <c r="AF818" t="s">
        <v>43</v>
      </c>
      <c r="AG818" t="s">
        <v>43</v>
      </c>
      <c r="AH818" s="2" t="s">
        <v>43</v>
      </c>
    </row>
    <row r="819" spans="1:34" ht="60">
      <c r="A819" s="6" t="s">
        <v>390</v>
      </c>
      <c r="B819" s="7">
        <v>46057</v>
      </c>
      <c r="C819" s="9" t="str">
        <f>HYPERLINK("https://eping.wto.org/en/Search?viewData= G/TBT/N/BDI/204/Add.2, G/TBT/N/KEN/1200/Add.2, G/TBT/N/RWA/595/Add.2, G/TBT/N/TZA/695/Add.2, G/TBT/N/UGA/1535/Add.2"," G/TBT/N/BDI/204/Add.2, G/TBT/N/KEN/1200/Add.2, G/TBT/N/RWA/595/Add.2, G/TBT/N/TZA/695/Add.2, G/TBT/N/UGA/1535/Add.2")</f>
        <v xml:space="preserve"> G/TBT/N/BDI/204/Add.2, G/TBT/N/KEN/1200/Add.2, G/TBT/N/RWA/595/Add.2, G/TBT/N/TZA/695/Add.2, G/TBT/N/UGA/1535/Add.2</v>
      </c>
      <c r="D819" s="8" t="s">
        <v>3293</v>
      </c>
      <c r="E819" s="8" t="s">
        <v>3294</v>
      </c>
      <c r="F819" s="8" t="s">
        <v>3295</v>
      </c>
      <c r="G819" s="8" t="s">
        <v>3296</v>
      </c>
      <c r="H819" s="8" t="s">
        <v>3260</v>
      </c>
      <c r="I819" s="8" t="s">
        <v>1035</v>
      </c>
      <c r="J819" s="8" t="s">
        <v>43</v>
      </c>
      <c r="K819" s="8" t="s">
        <v>350</v>
      </c>
      <c r="L819" s="6"/>
      <c r="M819" s="7" t="s">
        <v>43</v>
      </c>
      <c r="N819" s="7"/>
      <c r="O819" s="7"/>
      <c r="P819" s="6" t="s">
        <v>44</v>
      </c>
      <c r="Q819" s="6"/>
      <c r="R819" t="str">
        <f>HYPERLINK("https://docs.wto.org/imrd/directdoc.asp?DDFDocuments/t/G/TBTN22/BDI204A2.docx", "https://docs.wto.org/imrd/directdoc.asp?DDFDocuments/t/G/TBTN22/BDI204A2.docx")</f>
        <v>https://docs.wto.org/imrd/directdoc.asp?DDFDocuments/t/G/TBTN22/BDI204A2.docx</v>
      </c>
      <c r="S819" t="str">
        <f>HYPERLINK("https://docs.wto.org/imrd/directdoc.asp?DDFDocuments/u/G/TBTN22/BDI204A2.docx", "https://docs.wto.org/imrd/directdoc.asp?DDFDocuments/u/G/TBTN22/BDI204A2.docx")</f>
        <v>https://docs.wto.org/imrd/directdoc.asp?DDFDocuments/u/G/TBTN22/BDI204A2.docx</v>
      </c>
      <c r="T819" t="str">
        <f>HYPERLINK("https://docs.wto.org/imrd/directdoc.asp?DDFDocuments/v/G/TBTN22/BDI204A2.docx", "https://docs.wto.org/imrd/directdoc.asp?DDFDocuments/v/G/TBTN22/BDI204A2.docx")</f>
        <v>https://docs.wto.org/imrd/directdoc.asp?DDFDocuments/v/G/TBTN22/BDI204A2.docx</v>
      </c>
      <c r="U819" t="s">
        <v>64</v>
      </c>
      <c r="V819" t="s">
        <v>46</v>
      </c>
      <c r="W819" t="s">
        <v>64</v>
      </c>
      <c r="X819" t="s">
        <v>46</v>
      </c>
      <c r="Y819" t="s">
        <v>46</v>
      </c>
      <c r="Z819" t="s">
        <v>46</v>
      </c>
      <c r="AA819" t="s">
        <v>46</v>
      </c>
      <c r="AB819" s="2" t="s">
        <v>43</v>
      </c>
      <c r="AC819" t="s">
        <v>43</v>
      </c>
      <c r="AD819" t="s">
        <v>43</v>
      </c>
      <c r="AE819" t="s">
        <v>43</v>
      </c>
      <c r="AF819" t="s">
        <v>43</v>
      </c>
      <c r="AG819" t="s">
        <v>43</v>
      </c>
      <c r="AH819" s="2" t="s">
        <v>43</v>
      </c>
    </row>
    <row r="820" spans="1:34" ht="45">
      <c r="A820" s="6" t="s">
        <v>74</v>
      </c>
      <c r="B820" s="7">
        <v>46057</v>
      </c>
      <c r="C820" s="9" t="str">
        <f>HYPERLINK("https://eping.wto.org/en/Search?viewData= G/TBT/N/IND/428"," G/TBT/N/IND/428")</f>
        <v xml:space="preserve"> G/TBT/N/IND/428</v>
      </c>
      <c r="D820" s="8" t="s">
        <v>3319</v>
      </c>
      <c r="E820" s="8" t="s">
        <v>3320</v>
      </c>
      <c r="F820" s="8" t="s">
        <v>3321</v>
      </c>
      <c r="G820" s="8" t="s">
        <v>43</v>
      </c>
      <c r="H820" s="8" t="s">
        <v>3322</v>
      </c>
      <c r="I820" s="8" t="s">
        <v>52</v>
      </c>
      <c r="J820" s="8" t="s">
        <v>3323</v>
      </c>
      <c r="K820" s="8" t="s">
        <v>240</v>
      </c>
      <c r="L820" s="6"/>
      <c r="M820" s="7">
        <v>46117</v>
      </c>
      <c r="N820" s="7" t="s">
        <v>79</v>
      </c>
      <c r="O820" s="7" t="s">
        <v>79</v>
      </c>
      <c r="P820" s="6" t="s">
        <v>62</v>
      </c>
      <c r="Q820" s="8" t="s">
        <v>3324</v>
      </c>
      <c r="R820" t="str">
        <f>HYPERLINK("https://docs.wto.org/imrd/directdoc.asp?DDFDocuments/t/G/TBTN26/IND428.docx", "https://docs.wto.org/imrd/directdoc.asp?DDFDocuments/t/G/TBTN26/IND428.docx")</f>
        <v>https://docs.wto.org/imrd/directdoc.asp?DDFDocuments/t/G/TBTN26/IND428.docx</v>
      </c>
      <c r="S820" t="str">
        <f>HYPERLINK("https://docs.wto.org/imrd/directdoc.asp?DDFDocuments/u/G/TBTN26/IND428.docx", "https://docs.wto.org/imrd/directdoc.asp?DDFDocuments/u/G/TBTN26/IND428.docx")</f>
        <v>https://docs.wto.org/imrd/directdoc.asp?DDFDocuments/u/G/TBTN26/IND428.docx</v>
      </c>
      <c r="T820" t="str">
        <f>HYPERLINK("https://docs.wto.org/imrd/directdoc.asp?DDFDocuments/v/G/TBTN26/IND428.docx", "https://docs.wto.org/imrd/directdoc.asp?DDFDocuments/v/G/TBTN26/IND428.docx")</f>
        <v>https://docs.wto.org/imrd/directdoc.asp?DDFDocuments/v/G/TBTN26/IND428.docx</v>
      </c>
      <c r="U820" t="s">
        <v>64</v>
      </c>
      <c r="V820" t="s">
        <v>46</v>
      </c>
      <c r="W820" t="s">
        <v>46</v>
      </c>
      <c r="X820" t="s">
        <v>46</v>
      </c>
      <c r="Y820" t="s">
        <v>46</v>
      </c>
      <c r="Z820" t="s">
        <v>46</v>
      </c>
      <c r="AA820" t="s">
        <v>46</v>
      </c>
      <c r="AB820" s="2" t="s">
        <v>43</v>
      </c>
      <c r="AC820" t="s">
        <v>43</v>
      </c>
      <c r="AD820" t="s">
        <v>43</v>
      </c>
      <c r="AE820" t="s">
        <v>43</v>
      </c>
      <c r="AF820" t="s">
        <v>43</v>
      </c>
      <c r="AG820" t="s">
        <v>43</v>
      </c>
      <c r="AH820" s="2" t="s">
        <v>43</v>
      </c>
    </row>
    <row r="821" spans="1:34" ht="150">
      <c r="A821" s="6" t="s">
        <v>2430</v>
      </c>
      <c r="B821" s="7">
        <v>46057</v>
      </c>
      <c r="C821" s="9" t="str">
        <f>HYPERLINK("https://eping.wto.org/en/Search?viewData= G/SPS/N/NIC/254"," G/SPS/N/NIC/254")</f>
        <v xml:space="preserve"> G/SPS/N/NIC/254</v>
      </c>
      <c r="D821" s="8" t="s">
        <v>3325</v>
      </c>
      <c r="E821" s="8" t="s">
        <v>3326</v>
      </c>
      <c r="F821" s="8" t="s">
        <v>3327</v>
      </c>
      <c r="G821" s="8" t="s">
        <v>43</v>
      </c>
      <c r="H821" s="8" t="s">
        <v>43</v>
      </c>
      <c r="I821" s="8" t="s">
        <v>2433</v>
      </c>
      <c r="J821" s="8" t="s">
        <v>43</v>
      </c>
      <c r="K821" s="8" t="s">
        <v>95</v>
      </c>
      <c r="L821" s="6" t="s">
        <v>89</v>
      </c>
      <c r="M821" s="7">
        <v>46117</v>
      </c>
      <c r="N821" s="7" t="s">
        <v>79</v>
      </c>
      <c r="O821" s="7" t="s">
        <v>79</v>
      </c>
      <c r="P821" s="6" t="s">
        <v>62</v>
      </c>
      <c r="Q821" s="8" t="s">
        <v>3328</v>
      </c>
      <c r="R821" t="str">
        <f>HYPERLINK("https://docs.wto.org/imrd/directdoc.asp?DDFDocuments/t/G/SPS/NNIC254.docx", "https://docs.wto.org/imrd/directdoc.asp?DDFDocuments/t/G/SPS/NNIC254.docx")</f>
        <v>https://docs.wto.org/imrd/directdoc.asp?DDFDocuments/t/G/SPS/NNIC254.docx</v>
      </c>
      <c r="S821" t="str">
        <f>HYPERLINK("https://docs.wto.org/imrd/directdoc.asp?DDFDocuments/u/G/SPS/NNIC254.docx", "https://docs.wto.org/imrd/directdoc.asp?DDFDocuments/u/G/SPS/NNIC254.docx")</f>
        <v>https://docs.wto.org/imrd/directdoc.asp?DDFDocuments/u/G/SPS/NNIC254.docx</v>
      </c>
      <c r="T821" t="str">
        <f>HYPERLINK("https://docs.wto.org/imrd/directdoc.asp?DDFDocuments/v/G/SPS/NNIC254.docx", "https://docs.wto.org/imrd/directdoc.asp?DDFDocuments/v/G/SPS/NNIC254.docx")</f>
        <v>https://docs.wto.org/imrd/directdoc.asp?DDFDocuments/v/G/SPS/NNIC254.docx</v>
      </c>
      <c r="U821" t="s">
        <v>43</v>
      </c>
      <c r="V821" t="s">
        <v>43</v>
      </c>
      <c r="W821" t="s">
        <v>43</v>
      </c>
      <c r="X821" t="s">
        <v>43</v>
      </c>
      <c r="Y821" t="s">
        <v>43</v>
      </c>
      <c r="Z821" t="s">
        <v>43</v>
      </c>
      <c r="AA821" t="s">
        <v>43</v>
      </c>
      <c r="AB821" s="2" t="s">
        <v>43</v>
      </c>
      <c r="AC821" t="s">
        <v>46</v>
      </c>
      <c r="AD821" t="s">
        <v>46</v>
      </c>
      <c r="AE821" t="s">
        <v>46</v>
      </c>
      <c r="AF821" t="s">
        <v>64</v>
      </c>
      <c r="AG821" t="s">
        <v>99</v>
      </c>
      <c r="AH821" s="2" t="s">
        <v>43</v>
      </c>
    </row>
    <row r="822" spans="1:34" ht="105">
      <c r="A822" s="6" t="s">
        <v>2430</v>
      </c>
      <c r="B822" s="7">
        <v>46057</v>
      </c>
      <c r="C822" s="9" t="str">
        <f>HYPERLINK("https://eping.wto.org/en/Search?viewData= G/SPS/N/NIC/255"," G/SPS/N/NIC/255")</f>
        <v xml:space="preserve"> G/SPS/N/NIC/255</v>
      </c>
      <c r="D822" s="8" t="s">
        <v>3329</v>
      </c>
      <c r="E822" s="8" t="s">
        <v>3330</v>
      </c>
      <c r="F822" s="8" t="s">
        <v>3331</v>
      </c>
      <c r="G822" s="8" t="s">
        <v>43</v>
      </c>
      <c r="H822" s="8" t="s">
        <v>43</v>
      </c>
      <c r="I822" s="8" t="s">
        <v>2433</v>
      </c>
      <c r="J822" s="8" t="s">
        <v>43</v>
      </c>
      <c r="K822" s="8" t="s">
        <v>3332</v>
      </c>
      <c r="L822" s="6" t="s">
        <v>2991</v>
      </c>
      <c r="M822" s="7">
        <v>46117</v>
      </c>
      <c r="N822" s="7" t="s">
        <v>79</v>
      </c>
      <c r="O822" s="7" t="s">
        <v>79</v>
      </c>
      <c r="P822" s="6" t="s">
        <v>62</v>
      </c>
      <c r="Q822" s="8" t="s">
        <v>3333</v>
      </c>
      <c r="R822" t="str">
        <f>HYPERLINK("https://docs.wto.org/imrd/directdoc.asp?DDFDocuments/t/G/SPS/NNIC255.docx", "https://docs.wto.org/imrd/directdoc.asp?DDFDocuments/t/G/SPS/NNIC255.docx")</f>
        <v>https://docs.wto.org/imrd/directdoc.asp?DDFDocuments/t/G/SPS/NNIC255.docx</v>
      </c>
      <c r="S822" t="str">
        <f>HYPERLINK("https://docs.wto.org/imrd/directdoc.asp?DDFDocuments/u/G/SPS/NNIC255.docx", "https://docs.wto.org/imrd/directdoc.asp?DDFDocuments/u/G/SPS/NNIC255.docx")</f>
        <v>https://docs.wto.org/imrd/directdoc.asp?DDFDocuments/u/G/SPS/NNIC255.docx</v>
      </c>
      <c r="T822" t="str">
        <f>HYPERLINK("https://docs.wto.org/imrd/directdoc.asp?DDFDocuments/v/G/SPS/NNIC255.docx", "https://docs.wto.org/imrd/directdoc.asp?DDFDocuments/v/G/SPS/NNIC255.docx")</f>
        <v>https://docs.wto.org/imrd/directdoc.asp?DDFDocuments/v/G/SPS/NNIC255.docx</v>
      </c>
      <c r="U822" t="s">
        <v>43</v>
      </c>
      <c r="V822" t="s">
        <v>43</v>
      </c>
      <c r="W822" t="s">
        <v>43</v>
      </c>
      <c r="X822" t="s">
        <v>43</v>
      </c>
      <c r="Y822" t="s">
        <v>43</v>
      </c>
      <c r="Z822" t="s">
        <v>43</v>
      </c>
      <c r="AA822" t="s">
        <v>43</v>
      </c>
      <c r="AB822" s="2" t="s">
        <v>43</v>
      </c>
      <c r="AC822" t="s">
        <v>46</v>
      </c>
      <c r="AD822" t="s">
        <v>46</v>
      </c>
      <c r="AE822" t="s">
        <v>46</v>
      </c>
      <c r="AF822" t="s">
        <v>64</v>
      </c>
      <c r="AG822" t="s">
        <v>99</v>
      </c>
      <c r="AH822" s="2" t="s">
        <v>43</v>
      </c>
    </row>
    <row r="823" spans="1:34" ht="90">
      <c r="A823" s="6" t="s">
        <v>108</v>
      </c>
      <c r="B823" s="7">
        <v>46057</v>
      </c>
      <c r="C823" s="9" t="str">
        <f>HYPERLINK("https://eping.wto.org/en/Search?viewData= G/TBT/N/BDI/258/Add.2, G/TBT/N/KEN/1287/Add.2, G/TBT/N/RWA/693/Add.2, G/TBT/N/TZA/812/Add.2, G/TBT/N/UGA/1663/Add.2"," G/TBT/N/BDI/258/Add.2, G/TBT/N/KEN/1287/Add.2, G/TBT/N/RWA/693/Add.2, G/TBT/N/TZA/812/Add.2, G/TBT/N/UGA/1663/Add.2")</f>
        <v xml:space="preserve"> G/TBT/N/BDI/258/Add.2, G/TBT/N/KEN/1287/Add.2, G/TBT/N/RWA/693/Add.2, G/TBT/N/TZA/812/Add.2, G/TBT/N/UGA/1663/Add.2</v>
      </c>
      <c r="D823" s="8" t="s">
        <v>3288</v>
      </c>
      <c r="E823" s="8" t="s">
        <v>3289</v>
      </c>
      <c r="F823" s="8" t="s">
        <v>3290</v>
      </c>
      <c r="G823" s="8" t="s">
        <v>43</v>
      </c>
      <c r="H823" s="8" t="s">
        <v>3291</v>
      </c>
      <c r="I823" s="8" t="s">
        <v>3292</v>
      </c>
      <c r="J823" s="8" t="s">
        <v>43</v>
      </c>
      <c r="K823" s="8" t="s">
        <v>1029</v>
      </c>
      <c r="L823" s="6"/>
      <c r="M823" s="7" t="s">
        <v>43</v>
      </c>
      <c r="N823" s="7"/>
      <c r="O823" s="7"/>
      <c r="P823" s="6" t="s">
        <v>44</v>
      </c>
      <c r="Q823" s="6"/>
      <c r="R823" t="str">
        <f>HYPERLINK("https://docs.wto.org/imrd/directdoc.asp?DDFDocuments/t/G/TBTN22/BDI258A2.docx", "https://docs.wto.org/imrd/directdoc.asp?DDFDocuments/t/G/TBTN22/BDI258A2.docx")</f>
        <v>https://docs.wto.org/imrd/directdoc.asp?DDFDocuments/t/G/TBTN22/BDI258A2.docx</v>
      </c>
      <c r="S823" t="str">
        <f>HYPERLINK("https://docs.wto.org/imrd/directdoc.asp?DDFDocuments/u/G/TBTN22/BDI258A2.docx", "https://docs.wto.org/imrd/directdoc.asp?DDFDocuments/u/G/TBTN22/BDI258A2.docx")</f>
        <v>https://docs.wto.org/imrd/directdoc.asp?DDFDocuments/u/G/TBTN22/BDI258A2.docx</v>
      </c>
      <c r="T823" t="str">
        <f>HYPERLINK("https://docs.wto.org/imrd/directdoc.asp?DDFDocuments/v/G/TBTN22/BDI258A2.docx", "https://docs.wto.org/imrd/directdoc.asp?DDFDocuments/v/G/TBTN22/BDI258A2.docx")</f>
        <v>https://docs.wto.org/imrd/directdoc.asp?DDFDocuments/v/G/TBTN22/BDI258A2.docx</v>
      </c>
      <c r="U823" t="s">
        <v>64</v>
      </c>
      <c r="V823" t="s">
        <v>46</v>
      </c>
      <c r="W823" t="s">
        <v>46</v>
      </c>
      <c r="X823" t="s">
        <v>46</v>
      </c>
      <c r="Y823" t="s">
        <v>46</v>
      </c>
      <c r="Z823" t="s">
        <v>46</v>
      </c>
      <c r="AA823" t="s">
        <v>46</v>
      </c>
      <c r="AB823" s="2" t="s">
        <v>43</v>
      </c>
      <c r="AC823" t="s">
        <v>43</v>
      </c>
      <c r="AD823" t="s">
        <v>43</v>
      </c>
      <c r="AE823" t="s">
        <v>43</v>
      </c>
      <c r="AF823" t="s">
        <v>43</v>
      </c>
      <c r="AG823" t="s">
        <v>43</v>
      </c>
      <c r="AH823" s="2" t="s">
        <v>43</v>
      </c>
    </row>
    <row r="824" spans="1:34" ht="75">
      <c r="A824" s="6" t="s">
        <v>108</v>
      </c>
      <c r="B824" s="7">
        <v>46057</v>
      </c>
      <c r="C824" s="9" t="str">
        <f>HYPERLINK("https://eping.wto.org/en/Search?viewData= G/TBT/N/BDI/208/Add.3, G/TBT/N/KEN/1204/Add.3, G/TBT/N/RWA/599/Add.3, G/TBT/N/TZA/699/Add.3, G/TBT/N/UGA/1539/Add.3"," G/TBT/N/BDI/208/Add.3, G/TBT/N/KEN/1204/Add.3, G/TBT/N/RWA/599/Add.3, G/TBT/N/TZA/699/Add.3, G/TBT/N/UGA/1539/Add.3")</f>
        <v xml:space="preserve"> G/TBT/N/BDI/208/Add.3, G/TBT/N/KEN/1204/Add.3, G/TBT/N/RWA/599/Add.3, G/TBT/N/TZA/699/Add.3, G/TBT/N/UGA/1539/Add.3</v>
      </c>
      <c r="D824" s="8" t="s">
        <v>3303</v>
      </c>
      <c r="E824" s="8" t="s">
        <v>3304</v>
      </c>
      <c r="F824" s="8" t="s">
        <v>3305</v>
      </c>
      <c r="G824" s="8" t="s">
        <v>3306</v>
      </c>
      <c r="H824" s="8" t="s">
        <v>3260</v>
      </c>
      <c r="I824" s="8" t="s">
        <v>3307</v>
      </c>
      <c r="J824" s="8" t="s">
        <v>43</v>
      </c>
      <c r="K824" s="8" t="s">
        <v>43</v>
      </c>
      <c r="L824" s="6"/>
      <c r="M824" s="7" t="s">
        <v>43</v>
      </c>
      <c r="N824" s="7"/>
      <c r="O824" s="7"/>
      <c r="P824" s="6" t="s">
        <v>44</v>
      </c>
      <c r="Q824" s="6"/>
      <c r="R824" t="str">
        <f>HYPERLINK("https://docs.wto.org/imrd/directdoc.asp?DDFDocuments/t/G/TBTN22/BDI208A3.docx", "https://docs.wto.org/imrd/directdoc.asp?DDFDocuments/t/G/TBTN22/BDI208A3.docx")</f>
        <v>https://docs.wto.org/imrd/directdoc.asp?DDFDocuments/t/G/TBTN22/BDI208A3.docx</v>
      </c>
      <c r="S824" t="str">
        <f>HYPERLINK("https://docs.wto.org/imrd/directdoc.asp?DDFDocuments/u/G/TBTN22/BDI208A3.docx", "https://docs.wto.org/imrd/directdoc.asp?DDFDocuments/u/G/TBTN22/BDI208A3.docx")</f>
        <v>https://docs.wto.org/imrd/directdoc.asp?DDFDocuments/u/G/TBTN22/BDI208A3.docx</v>
      </c>
      <c r="T824" t="str">
        <f>HYPERLINK("https://docs.wto.org/imrd/directdoc.asp?DDFDocuments/v/G/TBTN22/BDI208A3.docx", "https://docs.wto.org/imrd/directdoc.asp?DDFDocuments/v/G/TBTN22/BDI208A3.docx")</f>
        <v>https://docs.wto.org/imrd/directdoc.asp?DDFDocuments/v/G/TBTN22/BDI208A3.docx</v>
      </c>
      <c r="U824" t="s">
        <v>46</v>
      </c>
      <c r="V824" t="s">
        <v>46</v>
      </c>
      <c r="W824" t="s">
        <v>64</v>
      </c>
      <c r="X824" t="s">
        <v>46</v>
      </c>
      <c r="Y824" t="s">
        <v>46</v>
      </c>
      <c r="Z824" t="s">
        <v>46</v>
      </c>
      <c r="AA824" t="s">
        <v>46</v>
      </c>
      <c r="AB824" s="2" t="s">
        <v>43</v>
      </c>
      <c r="AC824" t="s">
        <v>43</v>
      </c>
      <c r="AD824" t="s">
        <v>43</v>
      </c>
      <c r="AE824" t="s">
        <v>43</v>
      </c>
      <c r="AF824" t="s">
        <v>43</v>
      </c>
      <c r="AG824" t="s">
        <v>43</v>
      </c>
      <c r="AH824" s="2" t="s">
        <v>43</v>
      </c>
    </row>
    <row r="825" spans="1:34" ht="90">
      <c r="A825" s="6" t="s">
        <v>577</v>
      </c>
      <c r="B825" s="7">
        <v>46057</v>
      </c>
      <c r="C825" s="9" t="str">
        <f>HYPERLINK("https://eping.wto.org/en/Search?viewData= G/TBT/N/BDI/205/Add.4, G/TBT/N/KEN/1201/Add.4, G/TBT/N/RWA/596/Add.4, G/TBT/N/TZA/696/Add.4, G/TBT/N/UGA/1536/Add.4"," G/TBT/N/BDI/205/Add.4, G/TBT/N/KEN/1201/Add.4, G/TBT/N/RWA/596/Add.4, G/TBT/N/TZA/696/Add.4, G/TBT/N/UGA/1536/Add.4")</f>
        <v xml:space="preserve"> G/TBT/N/BDI/205/Add.4, G/TBT/N/KEN/1201/Add.4, G/TBT/N/RWA/596/Add.4, G/TBT/N/TZA/696/Add.4, G/TBT/N/UGA/1536/Add.4</v>
      </c>
      <c r="D825" s="8" t="s">
        <v>3273</v>
      </c>
      <c r="E825" s="8" t="s">
        <v>3297</v>
      </c>
      <c r="F825" s="8" t="s">
        <v>3275</v>
      </c>
      <c r="G825" s="8" t="s">
        <v>3259</v>
      </c>
      <c r="H825" s="8" t="s">
        <v>3260</v>
      </c>
      <c r="I825" s="8" t="s">
        <v>3261</v>
      </c>
      <c r="J825" s="8" t="s">
        <v>43</v>
      </c>
      <c r="K825" s="8" t="s">
        <v>350</v>
      </c>
      <c r="L825" s="6"/>
      <c r="M825" s="7" t="s">
        <v>43</v>
      </c>
      <c r="N825" s="7"/>
      <c r="O825" s="7"/>
      <c r="P825" s="6" t="s">
        <v>44</v>
      </c>
      <c r="Q825" s="6"/>
      <c r="R825" t="str">
        <f>HYPERLINK("https://docs.wto.org/imrd/directdoc.asp?DDFDocuments/t/G/TBTN22/BDI205A4.docx", "https://docs.wto.org/imrd/directdoc.asp?DDFDocuments/t/G/TBTN22/BDI205A4.docx")</f>
        <v>https://docs.wto.org/imrd/directdoc.asp?DDFDocuments/t/G/TBTN22/BDI205A4.docx</v>
      </c>
      <c r="S825" t="str">
        <f>HYPERLINK("https://docs.wto.org/imrd/directdoc.asp?DDFDocuments/u/G/TBTN22/BDI205A4.docx", "https://docs.wto.org/imrd/directdoc.asp?DDFDocuments/u/G/TBTN22/BDI205A4.docx")</f>
        <v>https://docs.wto.org/imrd/directdoc.asp?DDFDocuments/u/G/TBTN22/BDI205A4.docx</v>
      </c>
      <c r="T825" t="str">
        <f>HYPERLINK("https://docs.wto.org/imrd/directdoc.asp?DDFDocuments/v/G/TBTN22/BDI205A4.docx", "https://docs.wto.org/imrd/directdoc.asp?DDFDocuments/v/G/TBTN22/BDI205A4.docx")</f>
        <v>https://docs.wto.org/imrd/directdoc.asp?DDFDocuments/v/G/TBTN22/BDI205A4.docx</v>
      </c>
      <c r="U825" t="s">
        <v>64</v>
      </c>
      <c r="V825" t="s">
        <v>46</v>
      </c>
      <c r="W825" t="s">
        <v>64</v>
      </c>
      <c r="X825" t="s">
        <v>46</v>
      </c>
      <c r="Y825" t="s">
        <v>46</v>
      </c>
      <c r="Z825" t="s">
        <v>46</v>
      </c>
      <c r="AA825" t="s">
        <v>46</v>
      </c>
      <c r="AB825" s="2" t="s">
        <v>43</v>
      </c>
      <c r="AC825" t="s">
        <v>43</v>
      </c>
      <c r="AD825" t="s">
        <v>43</v>
      </c>
      <c r="AE825" t="s">
        <v>43</v>
      </c>
      <c r="AF825" t="s">
        <v>43</v>
      </c>
      <c r="AG825" t="s">
        <v>43</v>
      </c>
      <c r="AH825" s="2" t="s">
        <v>43</v>
      </c>
    </row>
    <row r="826" spans="1:34" ht="60">
      <c r="A826" s="6" t="s">
        <v>108</v>
      </c>
      <c r="B826" s="7">
        <v>46057</v>
      </c>
      <c r="C826" s="9" t="str">
        <f>HYPERLINK("https://eping.wto.org/en/Search?viewData= G/TBT/N/BDI/240/Add.3, G/TBT/N/KEN/1259/Add.3, G/TBT/N/RWA/670/Add.3, G/TBT/N/TZA/780/Add.3, G/TBT/N/UGA/1593/Add.3"," G/TBT/N/BDI/240/Add.3, G/TBT/N/KEN/1259/Add.3, G/TBT/N/RWA/670/Add.3, G/TBT/N/TZA/780/Add.3, G/TBT/N/UGA/1593/Add.3")</f>
        <v xml:space="preserve"> G/TBT/N/BDI/240/Add.3, G/TBT/N/KEN/1259/Add.3, G/TBT/N/RWA/670/Add.3, G/TBT/N/TZA/780/Add.3, G/TBT/N/UGA/1593/Add.3</v>
      </c>
      <c r="D826" s="8" t="s">
        <v>3280</v>
      </c>
      <c r="E826" s="8" t="s">
        <v>3281</v>
      </c>
      <c r="F826" s="8" t="s">
        <v>3077</v>
      </c>
      <c r="G826" s="8" t="s">
        <v>3078</v>
      </c>
      <c r="H826" s="8" t="s">
        <v>1959</v>
      </c>
      <c r="I826" s="8" t="s">
        <v>3282</v>
      </c>
      <c r="J826" s="8"/>
      <c r="K826" s="8" t="s">
        <v>3080</v>
      </c>
      <c r="L826" s="6"/>
      <c r="M826" s="7" t="s">
        <v>43</v>
      </c>
      <c r="N826" s="7"/>
      <c r="O826" s="7"/>
      <c r="P826" s="6" t="s">
        <v>44</v>
      </c>
      <c r="Q826" s="6"/>
      <c r="R826" t="str">
        <f>HYPERLINK("https://docs.wto.org/imrd/directdoc.asp?DDFDocuments/t/G/TBTN22/BDI240A3.docx", "https://docs.wto.org/imrd/directdoc.asp?DDFDocuments/t/G/TBTN22/BDI240A3.docx")</f>
        <v>https://docs.wto.org/imrd/directdoc.asp?DDFDocuments/t/G/TBTN22/BDI240A3.docx</v>
      </c>
      <c r="S826" t="str">
        <f>HYPERLINK("https://docs.wto.org/imrd/directdoc.asp?DDFDocuments/u/G/TBTN22/BDI240A3.docx", "https://docs.wto.org/imrd/directdoc.asp?DDFDocuments/u/G/TBTN22/BDI240A3.docx")</f>
        <v>https://docs.wto.org/imrd/directdoc.asp?DDFDocuments/u/G/TBTN22/BDI240A3.docx</v>
      </c>
      <c r="T826" t="str">
        <f>HYPERLINK("https://docs.wto.org/imrd/directdoc.asp?DDFDocuments/v/G/TBTN22/BDI240A3.docx", "https://docs.wto.org/imrd/directdoc.asp?DDFDocuments/v/G/TBTN22/BDI240A3.docx")</f>
        <v>https://docs.wto.org/imrd/directdoc.asp?DDFDocuments/v/G/TBTN22/BDI240A3.docx</v>
      </c>
      <c r="U826" t="s">
        <v>64</v>
      </c>
      <c r="V826" t="s">
        <v>46</v>
      </c>
      <c r="W826" t="s">
        <v>46</v>
      </c>
      <c r="X826" t="s">
        <v>46</v>
      </c>
      <c r="Y826" t="s">
        <v>46</v>
      </c>
      <c r="Z826" t="s">
        <v>46</v>
      </c>
      <c r="AA826" t="s">
        <v>46</v>
      </c>
      <c r="AB826" s="2" t="s">
        <v>43</v>
      </c>
      <c r="AC826" t="s">
        <v>43</v>
      </c>
      <c r="AD826" t="s">
        <v>43</v>
      </c>
      <c r="AE826" t="s">
        <v>43</v>
      </c>
      <c r="AF826" t="s">
        <v>43</v>
      </c>
      <c r="AG826" t="s">
        <v>43</v>
      </c>
      <c r="AH826" s="2" t="s">
        <v>43</v>
      </c>
    </row>
    <row r="827" spans="1:34" ht="105">
      <c r="A827" s="6" t="s">
        <v>132</v>
      </c>
      <c r="B827" s="7">
        <v>46057</v>
      </c>
      <c r="C827" s="9" t="str">
        <f>HYPERLINK("https://eping.wto.org/en/Search?viewData= G/TBT/N/USA/2192/Add.1"," G/TBT/N/USA/2192/Add.1")</f>
        <v xml:space="preserve"> G/TBT/N/USA/2192/Add.1</v>
      </c>
      <c r="D827" s="8" t="s">
        <v>3334</v>
      </c>
      <c r="E827" s="8" t="s">
        <v>3335</v>
      </c>
      <c r="F827" s="8" t="s">
        <v>3336</v>
      </c>
      <c r="G827" s="8" t="s">
        <v>43</v>
      </c>
      <c r="H827" s="8" t="s">
        <v>3337</v>
      </c>
      <c r="I827" s="8" t="s">
        <v>3338</v>
      </c>
      <c r="J827" s="8" t="s">
        <v>43</v>
      </c>
      <c r="K827" s="8" t="s">
        <v>42</v>
      </c>
      <c r="L827" s="6"/>
      <c r="M827" s="7" t="s">
        <v>43</v>
      </c>
      <c r="N827" s="7"/>
      <c r="O827" s="7"/>
      <c r="P827" s="6" t="s">
        <v>44</v>
      </c>
      <c r="Q827" s="8" t="s">
        <v>3339</v>
      </c>
      <c r="R827" t="str">
        <f>HYPERLINK("https://docs.wto.org/imrd/directdoc.asp?DDFDocuments/t/G/TBTN25/USA2192A1.docx", "https://docs.wto.org/imrd/directdoc.asp?DDFDocuments/t/G/TBTN25/USA2192A1.docx")</f>
        <v>https://docs.wto.org/imrd/directdoc.asp?DDFDocuments/t/G/TBTN25/USA2192A1.docx</v>
      </c>
      <c r="S827" t="str">
        <f>HYPERLINK("https://docs.wto.org/imrd/directdoc.asp?DDFDocuments/u/G/TBTN25/USA2192A1.docx", "https://docs.wto.org/imrd/directdoc.asp?DDFDocuments/u/G/TBTN25/USA2192A1.docx")</f>
        <v>https://docs.wto.org/imrd/directdoc.asp?DDFDocuments/u/G/TBTN25/USA2192A1.docx</v>
      </c>
      <c r="T827" t="str">
        <f>HYPERLINK("https://docs.wto.org/imrd/directdoc.asp?DDFDocuments/v/G/TBTN25/USA2192A1.docx", "https://docs.wto.org/imrd/directdoc.asp?DDFDocuments/v/G/TBTN25/USA2192A1.docx")</f>
        <v>https://docs.wto.org/imrd/directdoc.asp?DDFDocuments/v/G/TBTN25/USA2192A1.docx</v>
      </c>
      <c r="U827" t="s">
        <v>46</v>
      </c>
      <c r="V827" t="s">
        <v>46</v>
      </c>
      <c r="W827" t="s">
        <v>46</v>
      </c>
      <c r="X827" t="s">
        <v>46</v>
      </c>
      <c r="Y827" t="s">
        <v>64</v>
      </c>
      <c r="Z827" t="s">
        <v>46</v>
      </c>
      <c r="AA827" t="s">
        <v>46</v>
      </c>
      <c r="AB827" s="2" t="s">
        <v>43</v>
      </c>
      <c r="AC827" t="s">
        <v>43</v>
      </c>
      <c r="AD827" t="s">
        <v>43</v>
      </c>
      <c r="AE827" t="s">
        <v>43</v>
      </c>
      <c r="AF827" t="s">
        <v>43</v>
      </c>
      <c r="AG827" t="s">
        <v>43</v>
      </c>
      <c r="AH827" s="2" t="s">
        <v>43</v>
      </c>
    </row>
    <row r="828" spans="1:34" ht="135">
      <c r="A828" s="6" t="s">
        <v>2430</v>
      </c>
      <c r="B828" s="7">
        <v>46057</v>
      </c>
      <c r="C828" s="9" t="str">
        <f>HYPERLINK("https://eping.wto.org/en/Search?viewData= G/SPS/N/NIC/252"," G/SPS/N/NIC/252")</f>
        <v xml:space="preserve"> G/SPS/N/NIC/252</v>
      </c>
      <c r="D828" s="8" t="s">
        <v>3340</v>
      </c>
      <c r="E828" s="8" t="s">
        <v>3341</v>
      </c>
      <c r="F828" s="8" t="s">
        <v>3342</v>
      </c>
      <c r="G828" s="8" t="s">
        <v>43</v>
      </c>
      <c r="H828" s="8" t="s">
        <v>43</v>
      </c>
      <c r="I828" s="8" t="s">
        <v>2433</v>
      </c>
      <c r="J828" s="8" t="s">
        <v>43</v>
      </c>
      <c r="K828" s="8" t="s">
        <v>95</v>
      </c>
      <c r="L828" s="6" t="s">
        <v>2991</v>
      </c>
      <c r="M828" s="7">
        <v>46117</v>
      </c>
      <c r="N828" s="7" t="s">
        <v>79</v>
      </c>
      <c r="O828" s="7" t="s">
        <v>79</v>
      </c>
      <c r="P828" s="6" t="s">
        <v>62</v>
      </c>
      <c r="Q828" s="8" t="s">
        <v>3343</v>
      </c>
      <c r="R828" t="str">
        <f>HYPERLINK("https://docs.wto.org/imrd/directdoc.asp?DDFDocuments/t/G/SPS/NNIC252.docx", "https://docs.wto.org/imrd/directdoc.asp?DDFDocuments/t/G/SPS/NNIC252.docx")</f>
        <v>https://docs.wto.org/imrd/directdoc.asp?DDFDocuments/t/G/SPS/NNIC252.docx</v>
      </c>
      <c r="S828" t="str">
        <f>HYPERLINK("https://docs.wto.org/imrd/directdoc.asp?DDFDocuments/u/G/SPS/NNIC252.docx", "https://docs.wto.org/imrd/directdoc.asp?DDFDocuments/u/G/SPS/NNIC252.docx")</f>
        <v>https://docs.wto.org/imrd/directdoc.asp?DDFDocuments/u/G/SPS/NNIC252.docx</v>
      </c>
      <c r="T828" t="str">
        <f>HYPERLINK("https://docs.wto.org/imrd/directdoc.asp?DDFDocuments/v/G/SPS/NNIC252.docx", "https://docs.wto.org/imrd/directdoc.asp?DDFDocuments/v/G/SPS/NNIC252.docx")</f>
        <v>https://docs.wto.org/imrd/directdoc.asp?DDFDocuments/v/G/SPS/NNIC252.docx</v>
      </c>
      <c r="U828" t="s">
        <v>43</v>
      </c>
      <c r="V828" t="s">
        <v>43</v>
      </c>
      <c r="W828" t="s">
        <v>43</v>
      </c>
      <c r="X828" t="s">
        <v>43</v>
      </c>
      <c r="Y828" t="s">
        <v>43</v>
      </c>
      <c r="Z828" t="s">
        <v>43</v>
      </c>
      <c r="AA828" t="s">
        <v>43</v>
      </c>
      <c r="AB828" s="2" t="s">
        <v>43</v>
      </c>
      <c r="AC828" t="s">
        <v>46</v>
      </c>
      <c r="AD828" t="s">
        <v>46</v>
      </c>
      <c r="AE828" t="s">
        <v>46</v>
      </c>
      <c r="AF828" t="s">
        <v>64</v>
      </c>
      <c r="AG828" t="s">
        <v>99</v>
      </c>
      <c r="AH828" s="2" t="s">
        <v>43</v>
      </c>
    </row>
    <row r="829" spans="1:34" ht="75">
      <c r="A829" s="6" t="s">
        <v>509</v>
      </c>
      <c r="B829" s="7">
        <v>46057</v>
      </c>
      <c r="C829" s="9" t="str">
        <f>HYPERLINK("https://eping.wto.org/en/Search?viewData= G/TBT/N/BDI/208/Add.3, G/TBT/N/KEN/1204/Add.3, G/TBT/N/RWA/599/Add.3, G/TBT/N/TZA/699/Add.3, G/TBT/N/UGA/1539/Add.3"," G/TBT/N/BDI/208/Add.3, G/TBT/N/KEN/1204/Add.3, G/TBT/N/RWA/599/Add.3, G/TBT/N/TZA/699/Add.3, G/TBT/N/UGA/1539/Add.3")</f>
        <v xml:space="preserve"> G/TBT/N/BDI/208/Add.3, G/TBT/N/KEN/1204/Add.3, G/TBT/N/RWA/599/Add.3, G/TBT/N/TZA/699/Add.3, G/TBT/N/UGA/1539/Add.3</v>
      </c>
      <c r="D829" s="8" t="s">
        <v>3303</v>
      </c>
      <c r="E829" s="8" t="s">
        <v>3304</v>
      </c>
      <c r="F829" s="8" t="s">
        <v>3305</v>
      </c>
      <c r="G829" s="8" t="s">
        <v>3306</v>
      </c>
      <c r="H829" s="8" t="s">
        <v>3260</v>
      </c>
      <c r="I829" s="8" t="s">
        <v>3307</v>
      </c>
      <c r="J829" s="8" t="s">
        <v>43</v>
      </c>
      <c r="K829" s="8" t="s">
        <v>43</v>
      </c>
      <c r="L829" s="6"/>
      <c r="M829" s="7" t="s">
        <v>43</v>
      </c>
      <c r="N829" s="7"/>
      <c r="O829" s="7"/>
      <c r="P829" s="6" t="s">
        <v>44</v>
      </c>
      <c r="Q829" s="6"/>
      <c r="R829" t="str">
        <f>HYPERLINK("https://docs.wto.org/imrd/directdoc.asp?DDFDocuments/t/G/TBTN22/BDI208A3.docx", "https://docs.wto.org/imrd/directdoc.asp?DDFDocuments/t/G/TBTN22/BDI208A3.docx")</f>
        <v>https://docs.wto.org/imrd/directdoc.asp?DDFDocuments/t/G/TBTN22/BDI208A3.docx</v>
      </c>
      <c r="S829" t="str">
        <f>HYPERLINK("https://docs.wto.org/imrd/directdoc.asp?DDFDocuments/u/G/TBTN22/BDI208A3.docx", "https://docs.wto.org/imrd/directdoc.asp?DDFDocuments/u/G/TBTN22/BDI208A3.docx")</f>
        <v>https://docs.wto.org/imrd/directdoc.asp?DDFDocuments/u/G/TBTN22/BDI208A3.docx</v>
      </c>
      <c r="T829" t="str">
        <f>HYPERLINK("https://docs.wto.org/imrd/directdoc.asp?DDFDocuments/v/G/TBTN22/BDI208A3.docx", "https://docs.wto.org/imrd/directdoc.asp?DDFDocuments/v/G/TBTN22/BDI208A3.docx")</f>
        <v>https://docs.wto.org/imrd/directdoc.asp?DDFDocuments/v/G/TBTN22/BDI208A3.docx</v>
      </c>
      <c r="U829" t="s">
        <v>46</v>
      </c>
      <c r="V829" t="s">
        <v>46</v>
      </c>
      <c r="W829" t="s">
        <v>64</v>
      </c>
      <c r="X829" t="s">
        <v>46</v>
      </c>
      <c r="Y829" t="s">
        <v>46</v>
      </c>
      <c r="Z829" t="s">
        <v>46</v>
      </c>
      <c r="AA829" t="s">
        <v>46</v>
      </c>
      <c r="AB829" s="2" t="s">
        <v>43</v>
      </c>
      <c r="AC829" t="s">
        <v>43</v>
      </c>
      <c r="AD829" t="s">
        <v>43</v>
      </c>
      <c r="AE829" t="s">
        <v>43</v>
      </c>
      <c r="AF829" t="s">
        <v>43</v>
      </c>
      <c r="AG829" t="s">
        <v>43</v>
      </c>
      <c r="AH829" s="2" t="s">
        <v>43</v>
      </c>
    </row>
    <row r="830" spans="1:34" ht="90">
      <c r="A830" s="6" t="s">
        <v>509</v>
      </c>
      <c r="B830" s="7">
        <v>46057</v>
      </c>
      <c r="C830" s="9" t="str">
        <f>HYPERLINK("https://eping.wto.org/en/Search?viewData= G/TBT/N/BDI/206/Add.3, G/TBT/N/KEN/1202/Add.3, G/TBT/N/RWA/597/Add.3, G/TBT/N/TZA/697/Add.3, G/TBT/N/UGA/1537/Add.3"," G/TBT/N/BDI/206/Add.3, G/TBT/N/KEN/1202/Add.3, G/TBT/N/RWA/597/Add.3, G/TBT/N/TZA/697/Add.3, G/TBT/N/UGA/1537/Add.3")</f>
        <v xml:space="preserve"> G/TBT/N/BDI/206/Add.3, G/TBT/N/KEN/1202/Add.3, G/TBT/N/RWA/597/Add.3, G/TBT/N/TZA/697/Add.3, G/TBT/N/UGA/1537/Add.3</v>
      </c>
      <c r="D830" s="8" t="s">
        <v>3262</v>
      </c>
      <c r="E830" s="8" t="s">
        <v>3263</v>
      </c>
      <c r="F830" s="8" t="s">
        <v>3264</v>
      </c>
      <c r="G830" s="8" t="s">
        <v>3259</v>
      </c>
      <c r="H830" s="8" t="s">
        <v>3260</v>
      </c>
      <c r="I830" s="8" t="s">
        <v>3261</v>
      </c>
      <c r="J830" s="8" t="s">
        <v>43</v>
      </c>
      <c r="K830" s="8" t="s">
        <v>43</v>
      </c>
      <c r="L830" s="6"/>
      <c r="M830" s="7" t="s">
        <v>43</v>
      </c>
      <c r="N830" s="7"/>
      <c r="O830" s="7"/>
      <c r="P830" s="6" t="s">
        <v>44</v>
      </c>
      <c r="Q830" s="6"/>
      <c r="R830" t="str">
        <f>HYPERLINK("https://docs.wto.org/imrd/directdoc.asp?DDFDocuments/t/G/TBTN22/BDI206A3.docx", "https://docs.wto.org/imrd/directdoc.asp?DDFDocuments/t/G/TBTN22/BDI206A3.docx")</f>
        <v>https://docs.wto.org/imrd/directdoc.asp?DDFDocuments/t/G/TBTN22/BDI206A3.docx</v>
      </c>
      <c r="S830" t="str">
        <f>HYPERLINK("https://docs.wto.org/imrd/directdoc.asp?DDFDocuments/u/G/TBTN22/BDI206A3.docx", "https://docs.wto.org/imrd/directdoc.asp?DDFDocuments/u/G/TBTN22/BDI206A3.docx")</f>
        <v>https://docs.wto.org/imrd/directdoc.asp?DDFDocuments/u/G/TBTN22/BDI206A3.docx</v>
      </c>
      <c r="T830" t="str">
        <f>HYPERLINK("https://docs.wto.org/imrd/directdoc.asp?DDFDocuments/v/G/TBTN22/BDI206A3.docx", "https://docs.wto.org/imrd/directdoc.asp?DDFDocuments/v/G/TBTN22/BDI206A3.docx")</f>
        <v>https://docs.wto.org/imrd/directdoc.asp?DDFDocuments/v/G/TBTN22/BDI206A3.docx</v>
      </c>
      <c r="U830" t="s">
        <v>64</v>
      </c>
      <c r="V830" t="s">
        <v>46</v>
      </c>
      <c r="W830" t="s">
        <v>64</v>
      </c>
      <c r="X830" t="s">
        <v>46</v>
      </c>
      <c r="Y830" t="s">
        <v>46</v>
      </c>
      <c r="Z830" t="s">
        <v>46</v>
      </c>
      <c r="AA830" t="s">
        <v>46</v>
      </c>
      <c r="AB830" s="2" t="s">
        <v>43</v>
      </c>
      <c r="AC830" t="s">
        <v>43</v>
      </c>
      <c r="AD830" t="s">
        <v>43</v>
      </c>
      <c r="AE830" t="s">
        <v>43</v>
      </c>
      <c r="AF830" t="s">
        <v>43</v>
      </c>
      <c r="AG830" t="s">
        <v>43</v>
      </c>
      <c r="AH830" s="2" t="s">
        <v>43</v>
      </c>
    </row>
    <row r="831" spans="1:34" ht="90">
      <c r="A831" s="6" t="s">
        <v>124</v>
      </c>
      <c r="B831" s="7">
        <v>46057</v>
      </c>
      <c r="C831" s="9" t="str">
        <f>HYPERLINK("https://eping.wto.org/en/Search?viewData= G/TBT/N/BDI/204/Add.2, G/TBT/N/KEN/1200/Add.2, G/TBT/N/RWA/595/Add.2, G/TBT/N/TZA/695/Add.2, G/TBT/N/UGA/1535/Add.2"," G/TBT/N/BDI/204/Add.2, G/TBT/N/KEN/1200/Add.2, G/TBT/N/RWA/595/Add.2, G/TBT/N/TZA/695/Add.2, G/TBT/N/UGA/1535/Add.2")</f>
        <v xml:space="preserve"> G/TBT/N/BDI/204/Add.2, G/TBT/N/KEN/1200/Add.2, G/TBT/N/RWA/595/Add.2, G/TBT/N/TZA/695/Add.2, G/TBT/N/UGA/1535/Add.2</v>
      </c>
      <c r="D831" s="8" t="s">
        <v>3293</v>
      </c>
      <c r="E831" s="8" t="s">
        <v>3294</v>
      </c>
      <c r="F831" s="8" t="s">
        <v>3295</v>
      </c>
      <c r="G831" s="8" t="s">
        <v>3296</v>
      </c>
      <c r="H831" s="8" t="s">
        <v>3260</v>
      </c>
      <c r="I831" s="8" t="s">
        <v>3261</v>
      </c>
      <c r="J831" s="8" t="s">
        <v>43</v>
      </c>
      <c r="K831" s="8" t="s">
        <v>350</v>
      </c>
      <c r="L831" s="6"/>
      <c r="M831" s="7" t="s">
        <v>43</v>
      </c>
      <c r="N831" s="7"/>
      <c r="O831" s="7"/>
      <c r="P831" s="6" t="s">
        <v>44</v>
      </c>
      <c r="Q831" s="6"/>
      <c r="R831" t="str">
        <f>HYPERLINK("https://docs.wto.org/imrd/directdoc.asp?DDFDocuments/t/G/TBTN22/BDI204A2.docx", "https://docs.wto.org/imrd/directdoc.asp?DDFDocuments/t/G/TBTN22/BDI204A2.docx")</f>
        <v>https://docs.wto.org/imrd/directdoc.asp?DDFDocuments/t/G/TBTN22/BDI204A2.docx</v>
      </c>
      <c r="S831" t="str">
        <f>HYPERLINK("https://docs.wto.org/imrd/directdoc.asp?DDFDocuments/u/G/TBTN22/BDI204A2.docx", "https://docs.wto.org/imrd/directdoc.asp?DDFDocuments/u/G/TBTN22/BDI204A2.docx")</f>
        <v>https://docs.wto.org/imrd/directdoc.asp?DDFDocuments/u/G/TBTN22/BDI204A2.docx</v>
      </c>
      <c r="T831" t="str">
        <f>HYPERLINK("https://docs.wto.org/imrd/directdoc.asp?DDFDocuments/v/G/TBTN22/BDI204A2.docx", "https://docs.wto.org/imrd/directdoc.asp?DDFDocuments/v/G/TBTN22/BDI204A2.docx")</f>
        <v>https://docs.wto.org/imrd/directdoc.asp?DDFDocuments/v/G/TBTN22/BDI204A2.docx</v>
      </c>
      <c r="U831" t="s">
        <v>64</v>
      </c>
      <c r="V831" t="s">
        <v>46</v>
      </c>
      <c r="W831" t="s">
        <v>64</v>
      </c>
      <c r="X831" t="s">
        <v>46</v>
      </c>
      <c r="Y831" t="s">
        <v>46</v>
      </c>
      <c r="Z831" t="s">
        <v>46</v>
      </c>
      <c r="AA831" t="s">
        <v>46</v>
      </c>
      <c r="AB831" s="2" t="s">
        <v>43</v>
      </c>
      <c r="AC831" t="s">
        <v>43</v>
      </c>
      <c r="AD831" t="s">
        <v>43</v>
      </c>
      <c r="AE831" t="s">
        <v>43</v>
      </c>
      <c r="AF831" t="s">
        <v>43</v>
      </c>
      <c r="AG831" t="s">
        <v>43</v>
      </c>
      <c r="AH831" s="2" t="s">
        <v>43</v>
      </c>
    </row>
    <row r="832" spans="1:34" ht="60">
      <c r="A832" s="6" t="s">
        <v>74</v>
      </c>
      <c r="B832" s="7">
        <v>46057</v>
      </c>
      <c r="C832" s="9" t="str">
        <f>HYPERLINK("https://eping.wto.org/en/Search?viewData= G/TBT/N/IND/429"," G/TBT/N/IND/429")</f>
        <v xml:space="preserve"> G/TBT/N/IND/429</v>
      </c>
      <c r="D832" s="8" t="s">
        <v>3344</v>
      </c>
      <c r="E832" s="8" t="s">
        <v>3345</v>
      </c>
      <c r="F832" s="8" t="s">
        <v>3346</v>
      </c>
      <c r="G832" s="8" t="s">
        <v>43</v>
      </c>
      <c r="H832" s="8" t="s">
        <v>3347</v>
      </c>
      <c r="I832" s="8" t="s">
        <v>52</v>
      </c>
      <c r="J832" s="8" t="s">
        <v>3348</v>
      </c>
      <c r="K832" s="8" t="s">
        <v>43</v>
      </c>
      <c r="L832" s="6"/>
      <c r="M832" s="7">
        <v>46117</v>
      </c>
      <c r="N832" s="7" t="s">
        <v>79</v>
      </c>
      <c r="O832" s="7" t="s">
        <v>79</v>
      </c>
      <c r="P832" s="6" t="s">
        <v>62</v>
      </c>
      <c r="Q832" s="8" t="s">
        <v>3349</v>
      </c>
      <c r="R832" t="str">
        <f>HYPERLINK("https://docs.wto.org/imrd/directdoc.asp?DDFDocuments/t/G/TBTN26/IND429.docx", "https://docs.wto.org/imrd/directdoc.asp?DDFDocuments/t/G/TBTN26/IND429.docx")</f>
        <v>https://docs.wto.org/imrd/directdoc.asp?DDFDocuments/t/G/TBTN26/IND429.docx</v>
      </c>
      <c r="S832" t="str">
        <f>HYPERLINK("https://docs.wto.org/imrd/directdoc.asp?DDFDocuments/u/G/TBTN26/IND429.docx", "https://docs.wto.org/imrd/directdoc.asp?DDFDocuments/u/G/TBTN26/IND429.docx")</f>
        <v>https://docs.wto.org/imrd/directdoc.asp?DDFDocuments/u/G/TBTN26/IND429.docx</v>
      </c>
      <c r="T832" t="str">
        <f>HYPERLINK("https://docs.wto.org/imrd/directdoc.asp?DDFDocuments/v/G/TBTN26/IND429.docx", "https://docs.wto.org/imrd/directdoc.asp?DDFDocuments/v/G/TBTN26/IND429.docx")</f>
        <v>https://docs.wto.org/imrd/directdoc.asp?DDFDocuments/v/G/TBTN26/IND429.docx</v>
      </c>
      <c r="U832" t="s">
        <v>64</v>
      </c>
      <c r="V832" t="s">
        <v>46</v>
      </c>
      <c r="W832" t="s">
        <v>46</v>
      </c>
      <c r="X832" t="s">
        <v>46</v>
      </c>
      <c r="Y832" t="s">
        <v>46</v>
      </c>
      <c r="Z832" t="s">
        <v>46</v>
      </c>
      <c r="AA832" t="s">
        <v>46</v>
      </c>
      <c r="AB832" s="2" t="s">
        <v>43</v>
      </c>
      <c r="AC832" t="s">
        <v>43</v>
      </c>
      <c r="AD832" t="s">
        <v>43</v>
      </c>
      <c r="AE832" t="s">
        <v>43</v>
      </c>
      <c r="AF832" t="s">
        <v>43</v>
      </c>
      <c r="AG832" t="s">
        <v>43</v>
      </c>
      <c r="AH832" s="2" t="s">
        <v>43</v>
      </c>
    </row>
    <row r="833" spans="1:34" ht="75">
      <c r="A833" s="6" t="s">
        <v>289</v>
      </c>
      <c r="B833" s="7">
        <v>46057</v>
      </c>
      <c r="C833" s="9" t="str">
        <f>HYPERLINK("https://eping.wto.org/en/Search?viewData= G/SPS/N/BRA/2471"," G/SPS/N/BRA/2471")</f>
        <v xml:space="preserve"> G/SPS/N/BRA/2471</v>
      </c>
      <c r="D833" s="8" t="s">
        <v>3350</v>
      </c>
      <c r="E833" s="8" t="s">
        <v>3351</v>
      </c>
      <c r="F833" s="8" t="s">
        <v>1515</v>
      </c>
      <c r="G833" s="8" t="s">
        <v>43</v>
      </c>
      <c r="H833" s="8" t="s">
        <v>1516</v>
      </c>
      <c r="I833" s="8" t="s">
        <v>58</v>
      </c>
      <c r="J833" s="8" t="s">
        <v>43</v>
      </c>
      <c r="K833" s="8" t="s">
        <v>2405</v>
      </c>
      <c r="L833" s="6"/>
      <c r="M833" s="7">
        <v>46117</v>
      </c>
      <c r="N833" s="7" t="s">
        <v>1517</v>
      </c>
      <c r="O833" s="7" t="s">
        <v>1517</v>
      </c>
      <c r="P833" s="6" t="s">
        <v>62</v>
      </c>
      <c r="Q833" s="8" t="s">
        <v>3352</v>
      </c>
      <c r="R833" t="str">
        <f>HYPERLINK("https://docs.wto.org/imrd/directdoc.asp?DDFDocuments/t/G/SPS/NBRA2471.docx", "https://docs.wto.org/imrd/directdoc.asp?DDFDocuments/t/G/SPS/NBRA2471.docx")</f>
        <v>https://docs.wto.org/imrd/directdoc.asp?DDFDocuments/t/G/SPS/NBRA2471.docx</v>
      </c>
      <c r="S833" t="str">
        <f>HYPERLINK("https://docs.wto.org/imrd/directdoc.asp?DDFDocuments/u/G/SPS/NBRA2471.docx", "https://docs.wto.org/imrd/directdoc.asp?DDFDocuments/u/G/SPS/NBRA2471.docx")</f>
        <v>https://docs.wto.org/imrd/directdoc.asp?DDFDocuments/u/G/SPS/NBRA2471.docx</v>
      </c>
      <c r="T833" t="str">
        <f>HYPERLINK("https://docs.wto.org/imrd/directdoc.asp?DDFDocuments/v/G/SPS/NBRA2471.docx", "https://docs.wto.org/imrd/directdoc.asp?DDFDocuments/v/G/SPS/NBRA2471.docx")</f>
        <v>https://docs.wto.org/imrd/directdoc.asp?DDFDocuments/v/G/SPS/NBRA2471.docx</v>
      </c>
      <c r="U833" t="s">
        <v>43</v>
      </c>
      <c r="V833" t="s">
        <v>43</v>
      </c>
      <c r="W833" t="s">
        <v>43</v>
      </c>
      <c r="X833" t="s">
        <v>43</v>
      </c>
      <c r="Y833" t="s">
        <v>43</v>
      </c>
      <c r="Z833" t="s">
        <v>43</v>
      </c>
      <c r="AA833" t="s">
        <v>43</v>
      </c>
      <c r="AB833" s="2" t="s">
        <v>43</v>
      </c>
      <c r="AC833" t="s">
        <v>46</v>
      </c>
      <c r="AD833" t="s">
        <v>46</v>
      </c>
      <c r="AE833" t="s">
        <v>46</v>
      </c>
      <c r="AF833" t="s">
        <v>64</v>
      </c>
      <c r="AG833" t="s">
        <v>99</v>
      </c>
      <c r="AH833" s="2" t="s">
        <v>43</v>
      </c>
    </row>
    <row r="834" spans="1:34" ht="90">
      <c r="A834" s="6" t="s">
        <v>108</v>
      </c>
      <c r="B834" s="7">
        <v>46057</v>
      </c>
      <c r="C834" s="9" t="str">
        <f>HYPERLINK("https://eping.wto.org/en/Search?viewData= G/TBT/N/BDI/209/Add.3, G/TBT/N/KEN/1205/Add.3, G/TBT/N/RWA/600/Add.3, G/TBT/N/TZA/700/Add.3, G/TBT/N/UGA/1540/Add.3"," G/TBT/N/BDI/209/Add.3, G/TBT/N/KEN/1205/Add.3, G/TBT/N/RWA/600/Add.3, G/TBT/N/TZA/700/Add.3, G/TBT/N/UGA/1540/Add.3")</f>
        <v xml:space="preserve"> G/TBT/N/BDI/209/Add.3, G/TBT/N/KEN/1205/Add.3, G/TBT/N/RWA/600/Add.3, G/TBT/N/TZA/700/Add.3, G/TBT/N/UGA/1540/Add.3</v>
      </c>
      <c r="D834" s="8" t="s">
        <v>3256</v>
      </c>
      <c r="E834" s="8" t="s">
        <v>3257</v>
      </c>
      <c r="F834" s="8" t="s">
        <v>3258</v>
      </c>
      <c r="G834" s="8" t="s">
        <v>3259</v>
      </c>
      <c r="H834" s="8" t="s">
        <v>3260</v>
      </c>
      <c r="I834" s="8" t="s">
        <v>3261</v>
      </c>
      <c r="J834" s="8" t="s">
        <v>43</v>
      </c>
      <c r="K834" s="8" t="s">
        <v>43</v>
      </c>
      <c r="L834" s="6"/>
      <c r="M834" s="7" t="s">
        <v>43</v>
      </c>
      <c r="N834" s="7"/>
      <c r="O834" s="7"/>
      <c r="P834" s="6" t="s">
        <v>44</v>
      </c>
      <c r="Q834" s="6"/>
      <c r="R834" t="str">
        <f>HYPERLINK("https://docs.wto.org/imrd/directdoc.asp?DDFDocuments/t/G/TBTN22/BDI209A3.docx", "https://docs.wto.org/imrd/directdoc.asp?DDFDocuments/t/G/TBTN22/BDI209A3.docx")</f>
        <v>https://docs.wto.org/imrd/directdoc.asp?DDFDocuments/t/G/TBTN22/BDI209A3.docx</v>
      </c>
      <c r="S834" t="str">
        <f>HYPERLINK("https://docs.wto.org/imrd/directdoc.asp?DDFDocuments/u/G/TBTN22/BDI209A3.docx", "https://docs.wto.org/imrd/directdoc.asp?DDFDocuments/u/G/TBTN22/BDI209A3.docx")</f>
        <v>https://docs.wto.org/imrd/directdoc.asp?DDFDocuments/u/G/TBTN22/BDI209A3.docx</v>
      </c>
      <c r="T834" t="str">
        <f>HYPERLINK("https://docs.wto.org/imrd/directdoc.asp?DDFDocuments/v/G/TBTN22/BDI209A3.docx", "https://docs.wto.org/imrd/directdoc.asp?DDFDocuments/v/G/TBTN22/BDI209A3.docx")</f>
        <v>https://docs.wto.org/imrd/directdoc.asp?DDFDocuments/v/G/TBTN22/BDI209A3.docx</v>
      </c>
      <c r="U834" t="s">
        <v>64</v>
      </c>
      <c r="V834" t="s">
        <v>46</v>
      </c>
      <c r="W834" t="s">
        <v>64</v>
      </c>
      <c r="X834" t="s">
        <v>46</v>
      </c>
      <c r="Y834" t="s">
        <v>46</v>
      </c>
      <c r="Z834" t="s">
        <v>46</v>
      </c>
      <c r="AA834" t="s">
        <v>46</v>
      </c>
      <c r="AB834" s="2" t="s">
        <v>43</v>
      </c>
      <c r="AC834" t="s">
        <v>43</v>
      </c>
      <c r="AD834" t="s">
        <v>43</v>
      </c>
      <c r="AE834" t="s">
        <v>43</v>
      </c>
      <c r="AF834" t="s">
        <v>43</v>
      </c>
      <c r="AG834" t="s">
        <v>43</v>
      </c>
      <c r="AH834" s="2" t="s">
        <v>43</v>
      </c>
    </row>
    <row r="835" spans="1:34" ht="90">
      <c r="A835" s="6" t="s">
        <v>577</v>
      </c>
      <c r="B835" s="7">
        <v>46057</v>
      </c>
      <c r="C835" s="9" t="str">
        <f>HYPERLINK("https://eping.wto.org/en/Search?viewData= G/TBT/N/BDI/206/Add.3, G/TBT/N/KEN/1202/Add.3, G/TBT/N/RWA/597/Add.3, G/TBT/N/TZA/697/Add.3, G/TBT/N/UGA/1537/Add.3"," G/TBT/N/BDI/206/Add.3, G/TBT/N/KEN/1202/Add.3, G/TBT/N/RWA/597/Add.3, G/TBT/N/TZA/697/Add.3, G/TBT/N/UGA/1537/Add.3")</f>
        <v xml:space="preserve"> G/TBT/N/BDI/206/Add.3, G/TBT/N/KEN/1202/Add.3, G/TBT/N/RWA/597/Add.3, G/TBT/N/TZA/697/Add.3, G/TBT/N/UGA/1537/Add.3</v>
      </c>
      <c r="D835" s="8" t="s">
        <v>3262</v>
      </c>
      <c r="E835" s="8" t="s">
        <v>3263</v>
      </c>
      <c r="F835" s="8" t="s">
        <v>3264</v>
      </c>
      <c r="G835" s="8" t="s">
        <v>3259</v>
      </c>
      <c r="H835" s="8" t="s">
        <v>3260</v>
      </c>
      <c r="I835" s="8" t="s">
        <v>3261</v>
      </c>
      <c r="J835" s="8" t="s">
        <v>43</v>
      </c>
      <c r="K835" s="8" t="s">
        <v>43</v>
      </c>
      <c r="L835" s="6"/>
      <c r="M835" s="7" t="s">
        <v>43</v>
      </c>
      <c r="N835" s="7"/>
      <c r="O835" s="7"/>
      <c r="P835" s="6" t="s">
        <v>44</v>
      </c>
      <c r="Q835" s="6"/>
      <c r="R835" t="str">
        <f>HYPERLINK("https://docs.wto.org/imrd/directdoc.asp?DDFDocuments/t/G/TBTN22/BDI206A3.docx", "https://docs.wto.org/imrd/directdoc.asp?DDFDocuments/t/G/TBTN22/BDI206A3.docx")</f>
        <v>https://docs.wto.org/imrd/directdoc.asp?DDFDocuments/t/G/TBTN22/BDI206A3.docx</v>
      </c>
      <c r="S835" t="str">
        <f>HYPERLINK("https://docs.wto.org/imrd/directdoc.asp?DDFDocuments/u/G/TBTN22/BDI206A3.docx", "https://docs.wto.org/imrd/directdoc.asp?DDFDocuments/u/G/TBTN22/BDI206A3.docx")</f>
        <v>https://docs.wto.org/imrd/directdoc.asp?DDFDocuments/u/G/TBTN22/BDI206A3.docx</v>
      </c>
      <c r="T835" t="str">
        <f>HYPERLINK("https://docs.wto.org/imrd/directdoc.asp?DDFDocuments/v/G/TBTN22/BDI206A3.docx", "https://docs.wto.org/imrd/directdoc.asp?DDFDocuments/v/G/TBTN22/BDI206A3.docx")</f>
        <v>https://docs.wto.org/imrd/directdoc.asp?DDFDocuments/v/G/TBTN22/BDI206A3.docx</v>
      </c>
      <c r="U835" t="s">
        <v>64</v>
      </c>
      <c r="V835" t="s">
        <v>46</v>
      </c>
      <c r="W835" t="s">
        <v>64</v>
      </c>
      <c r="X835" t="s">
        <v>46</v>
      </c>
      <c r="Y835" t="s">
        <v>46</v>
      </c>
      <c r="Z835" t="s">
        <v>46</v>
      </c>
      <c r="AA835" t="s">
        <v>46</v>
      </c>
      <c r="AB835" s="2" t="s">
        <v>43</v>
      </c>
      <c r="AC835" t="s">
        <v>43</v>
      </c>
      <c r="AD835" t="s">
        <v>43</v>
      </c>
      <c r="AE835" t="s">
        <v>43</v>
      </c>
      <c r="AF835" t="s">
        <v>43</v>
      </c>
      <c r="AG835" t="s">
        <v>43</v>
      </c>
      <c r="AH835" s="2" t="s">
        <v>43</v>
      </c>
    </row>
    <row r="836" spans="1:34" ht="45">
      <c r="A836" s="6" t="s">
        <v>146</v>
      </c>
      <c r="B836" s="7">
        <v>46057</v>
      </c>
      <c r="C836" s="9" t="str">
        <f>HYPERLINK("https://eping.wto.org/en/Search?viewData= G/SPS/N/CHL/875"," G/SPS/N/CHL/875")</f>
        <v xml:space="preserve"> G/SPS/N/CHL/875</v>
      </c>
      <c r="D836" s="8" t="s">
        <v>3353</v>
      </c>
      <c r="E836" s="8" t="s">
        <v>3354</v>
      </c>
      <c r="F836" s="8" t="s">
        <v>3355</v>
      </c>
      <c r="G836" s="8" t="s">
        <v>43</v>
      </c>
      <c r="H836" s="8" t="s">
        <v>43</v>
      </c>
      <c r="I836" s="8" t="s">
        <v>254</v>
      </c>
      <c r="J836" s="8" t="s">
        <v>43</v>
      </c>
      <c r="K836" s="8" t="s">
        <v>255</v>
      </c>
      <c r="L836" s="6" t="s">
        <v>1917</v>
      </c>
      <c r="M836" s="7">
        <v>46117</v>
      </c>
      <c r="N836" s="7" t="s">
        <v>3219</v>
      </c>
      <c r="O836" s="7" t="s">
        <v>3356</v>
      </c>
      <c r="P836" s="6" t="s">
        <v>62</v>
      </c>
      <c r="Q836" s="8" t="s">
        <v>3357</v>
      </c>
      <c r="R836" t="str">
        <f>HYPERLINK("https://docs.wto.org/imrd/directdoc.asp?DDFDocuments/t/G/SPS/NCHL875.docx", "https://docs.wto.org/imrd/directdoc.asp?DDFDocuments/t/G/SPS/NCHL875.docx")</f>
        <v>https://docs.wto.org/imrd/directdoc.asp?DDFDocuments/t/G/SPS/NCHL875.docx</v>
      </c>
      <c r="S836" t="str">
        <f>HYPERLINK("https://docs.wto.org/imrd/directdoc.asp?DDFDocuments/u/G/SPS/NCHL875.docx", "https://docs.wto.org/imrd/directdoc.asp?DDFDocuments/u/G/SPS/NCHL875.docx")</f>
        <v>https://docs.wto.org/imrd/directdoc.asp?DDFDocuments/u/G/SPS/NCHL875.docx</v>
      </c>
      <c r="T836" t="str">
        <f>HYPERLINK("https://docs.wto.org/imrd/directdoc.asp?DDFDocuments/v/G/SPS/NCHL875.docx", "https://docs.wto.org/imrd/directdoc.asp?DDFDocuments/v/G/SPS/NCHL875.docx")</f>
        <v>https://docs.wto.org/imrd/directdoc.asp?DDFDocuments/v/G/SPS/NCHL875.docx</v>
      </c>
      <c r="U836" t="s">
        <v>43</v>
      </c>
      <c r="V836" t="s">
        <v>43</v>
      </c>
      <c r="W836" t="s">
        <v>43</v>
      </c>
      <c r="X836" t="s">
        <v>43</v>
      </c>
      <c r="Y836" t="s">
        <v>43</v>
      </c>
      <c r="Z836" t="s">
        <v>43</v>
      </c>
      <c r="AA836" t="s">
        <v>43</v>
      </c>
      <c r="AB836" s="2" t="s">
        <v>43</v>
      </c>
      <c r="AC836" t="s">
        <v>46</v>
      </c>
      <c r="AD836" t="s">
        <v>46</v>
      </c>
      <c r="AE836" t="s">
        <v>64</v>
      </c>
      <c r="AF836" t="s">
        <v>46</v>
      </c>
      <c r="AG836" t="s">
        <v>64</v>
      </c>
      <c r="AH836" s="2" t="s">
        <v>43</v>
      </c>
    </row>
    <row r="837" spans="1:34" ht="75">
      <c r="A837" s="6" t="s">
        <v>303</v>
      </c>
      <c r="B837" s="7">
        <v>46057</v>
      </c>
      <c r="C837" s="9" t="str">
        <f>HYPERLINK("https://eping.wto.org/en/Search?viewData= G/TBT/N/KOR/1340"," G/TBT/N/KOR/1340")</f>
        <v xml:space="preserve"> G/TBT/N/KOR/1340</v>
      </c>
      <c r="D837" s="8" t="s">
        <v>3358</v>
      </c>
      <c r="E837" s="8" t="s">
        <v>3359</v>
      </c>
      <c r="F837" s="8" t="s">
        <v>3360</v>
      </c>
      <c r="G837" s="8" t="s">
        <v>43</v>
      </c>
      <c r="H837" s="8" t="s">
        <v>1427</v>
      </c>
      <c r="I837" s="8" t="s">
        <v>129</v>
      </c>
      <c r="J837" s="8" t="s">
        <v>43</v>
      </c>
      <c r="K837" s="8" t="s">
        <v>43</v>
      </c>
      <c r="L837" s="6"/>
      <c r="M837" s="7">
        <v>46117</v>
      </c>
      <c r="N837" s="7" t="s">
        <v>79</v>
      </c>
      <c r="O837" s="7" t="s">
        <v>79</v>
      </c>
      <c r="P837" s="6" t="s">
        <v>62</v>
      </c>
      <c r="Q837" s="8" t="s">
        <v>3361</v>
      </c>
      <c r="R837" t="str">
        <f>HYPERLINK("https://docs.wto.org/imrd/directdoc.asp?DDFDocuments/t/G/TBTN26/KOR1340.docx", "https://docs.wto.org/imrd/directdoc.asp?DDFDocuments/t/G/TBTN26/KOR1340.docx")</f>
        <v>https://docs.wto.org/imrd/directdoc.asp?DDFDocuments/t/G/TBTN26/KOR1340.docx</v>
      </c>
      <c r="S837" t="str">
        <f>HYPERLINK("https://docs.wto.org/imrd/directdoc.asp?DDFDocuments/u/G/TBTN26/KOR1340.docx", "https://docs.wto.org/imrd/directdoc.asp?DDFDocuments/u/G/TBTN26/KOR1340.docx")</f>
        <v>https://docs.wto.org/imrd/directdoc.asp?DDFDocuments/u/G/TBTN26/KOR1340.docx</v>
      </c>
      <c r="T837" t="str">
        <f>HYPERLINK("https://docs.wto.org/imrd/directdoc.asp?DDFDocuments/v/G/TBTN26/KOR1340.docx", "https://docs.wto.org/imrd/directdoc.asp?DDFDocuments/v/G/TBTN26/KOR1340.docx")</f>
        <v>https://docs.wto.org/imrd/directdoc.asp?DDFDocuments/v/G/TBTN26/KOR1340.docx</v>
      </c>
      <c r="U837" t="s">
        <v>64</v>
      </c>
      <c r="V837" t="s">
        <v>46</v>
      </c>
      <c r="W837" t="s">
        <v>46</v>
      </c>
      <c r="X837" t="s">
        <v>46</v>
      </c>
      <c r="Y837" t="s">
        <v>46</v>
      </c>
      <c r="Z837" t="s">
        <v>46</v>
      </c>
      <c r="AA837" t="s">
        <v>46</v>
      </c>
      <c r="AB837" s="2" t="s">
        <v>3362</v>
      </c>
      <c r="AC837" t="s">
        <v>43</v>
      </c>
      <c r="AD837" t="s">
        <v>43</v>
      </c>
      <c r="AE837" t="s">
        <v>43</v>
      </c>
      <c r="AF837" t="s">
        <v>43</v>
      </c>
      <c r="AG837" t="s">
        <v>43</v>
      </c>
      <c r="AH837" s="2" t="s">
        <v>43</v>
      </c>
    </row>
    <row r="838" spans="1:34" ht="30">
      <c r="A838" s="6" t="s">
        <v>303</v>
      </c>
      <c r="B838" s="7">
        <v>46057</v>
      </c>
      <c r="C838" s="9" t="str">
        <f>HYPERLINK("https://eping.wto.org/en/Search?viewData= G/TBT/N/KOR/1341"," G/TBT/N/KOR/1341")</f>
        <v xml:space="preserve"> G/TBT/N/KOR/1341</v>
      </c>
      <c r="D838" s="8" t="s">
        <v>3363</v>
      </c>
      <c r="E838" s="8" t="s">
        <v>3364</v>
      </c>
      <c r="F838" s="8" t="s">
        <v>3365</v>
      </c>
      <c r="G838" s="8" t="s">
        <v>43</v>
      </c>
      <c r="H838" s="8" t="s">
        <v>3366</v>
      </c>
      <c r="I838" s="8" t="s">
        <v>1850</v>
      </c>
      <c r="J838" s="8" t="s">
        <v>43</v>
      </c>
      <c r="K838" s="8" t="s">
        <v>43</v>
      </c>
      <c r="L838" s="6"/>
      <c r="M838" s="7">
        <v>46117</v>
      </c>
      <c r="N838" s="7" t="s">
        <v>79</v>
      </c>
      <c r="O838" s="7">
        <v>46203</v>
      </c>
      <c r="P838" s="6" t="s">
        <v>62</v>
      </c>
      <c r="Q838" s="8" t="s">
        <v>3367</v>
      </c>
      <c r="R838" t="str">
        <f>HYPERLINK("https://docs.wto.org/imrd/directdoc.asp?DDFDocuments/t/G/TBTN26/KOR1341.docx", "https://docs.wto.org/imrd/directdoc.asp?DDFDocuments/t/G/TBTN26/KOR1341.docx")</f>
        <v>https://docs.wto.org/imrd/directdoc.asp?DDFDocuments/t/G/TBTN26/KOR1341.docx</v>
      </c>
      <c r="S838" t="str">
        <f>HYPERLINK("https://docs.wto.org/imrd/directdoc.asp?DDFDocuments/u/G/TBTN26/KOR1341.docx", "https://docs.wto.org/imrd/directdoc.asp?DDFDocuments/u/G/TBTN26/KOR1341.docx")</f>
        <v>https://docs.wto.org/imrd/directdoc.asp?DDFDocuments/u/G/TBTN26/KOR1341.docx</v>
      </c>
      <c r="T838" t="str">
        <f>HYPERLINK("https://docs.wto.org/imrd/directdoc.asp?DDFDocuments/v/G/TBTN26/KOR1341.docx", "https://docs.wto.org/imrd/directdoc.asp?DDFDocuments/v/G/TBTN26/KOR1341.docx")</f>
        <v>https://docs.wto.org/imrd/directdoc.asp?DDFDocuments/v/G/TBTN26/KOR1341.docx</v>
      </c>
      <c r="U838" t="s">
        <v>64</v>
      </c>
      <c r="V838" t="s">
        <v>46</v>
      </c>
      <c r="W838" t="s">
        <v>64</v>
      </c>
      <c r="X838" t="s">
        <v>46</v>
      </c>
      <c r="Y838" t="s">
        <v>46</v>
      </c>
      <c r="Z838" t="s">
        <v>46</v>
      </c>
      <c r="AA838" t="s">
        <v>46</v>
      </c>
      <c r="AB838" s="2" t="s">
        <v>3368</v>
      </c>
      <c r="AC838" t="s">
        <v>43</v>
      </c>
      <c r="AD838" t="s">
        <v>43</v>
      </c>
      <c r="AE838" t="s">
        <v>43</v>
      </c>
      <c r="AF838" t="s">
        <v>43</v>
      </c>
      <c r="AG838" t="s">
        <v>43</v>
      </c>
      <c r="AH838" s="2" t="s">
        <v>43</v>
      </c>
    </row>
    <row r="839" spans="1:34" ht="60">
      <c r="A839" s="6" t="s">
        <v>390</v>
      </c>
      <c r="B839" s="7">
        <v>46057</v>
      </c>
      <c r="C839" s="9" t="str">
        <f>HYPERLINK("https://eping.wto.org/en/Search?viewData= G/TBT/N/BDI/258/Add.2, G/TBT/N/KEN/1287/Add.2, G/TBT/N/RWA/693/Add.2, G/TBT/N/TZA/812/Add.2, G/TBT/N/UGA/1663/Add.2"," G/TBT/N/BDI/258/Add.2, G/TBT/N/KEN/1287/Add.2, G/TBT/N/RWA/693/Add.2, G/TBT/N/TZA/812/Add.2, G/TBT/N/UGA/1663/Add.2")</f>
        <v xml:space="preserve"> G/TBT/N/BDI/258/Add.2, G/TBT/N/KEN/1287/Add.2, G/TBT/N/RWA/693/Add.2, G/TBT/N/TZA/812/Add.2, G/TBT/N/UGA/1663/Add.2</v>
      </c>
      <c r="D839" s="8" t="s">
        <v>3288</v>
      </c>
      <c r="E839" s="8" t="s">
        <v>3289</v>
      </c>
      <c r="F839" s="8" t="s">
        <v>3290</v>
      </c>
      <c r="G839" s="8" t="s">
        <v>43</v>
      </c>
      <c r="H839" s="8" t="s">
        <v>3291</v>
      </c>
      <c r="I839" s="8" t="s">
        <v>3369</v>
      </c>
      <c r="J839" s="8" t="s">
        <v>43</v>
      </c>
      <c r="K839" s="8" t="s">
        <v>1029</v>
      </c>
      <c r="L839" s="6"/>
      <c r="M839" s="7" t="s">
        <v>43</v>
      </c>
      <c r="N839" s="7"/>
      <c r="O839" s="7"/>
      <c r="P839" s="6" t="s">
        <v>44</v>
      </c>
      <c r="Q839" s="6"/>
      <c r="R839" t="str">
        <f>HYPERLINK("https://docs.wto.org/imrd/directdoc.asp?DDFDocuments/t/G/TBTN22/BDI258A2.docx", "https://docs.wto.org/imrd/directdoc.asp?DDFDocuments/t/G/TBTN22/BDI258A2.docx")</f>
        <v>https://docs.wto.org/imrd/directdoc.asp?DDFDocuments/t/G/TBTN22/BDI258A2.docx</v>
      </c>
      <c r="S839" t="str">
        <f>HYPERLINK("https://docs.wto.org/imrd/directdoc.asp?DDFDocuments/u/G/TBTN22/BDI258A2.docx", "https://docs.wto.org/imrd/directdoc.asp?DDFDocuments/u/G/TBTN22/BDI258A2.docx")</f>
        <v>https://docs.wto.org/imrd/directdoc.asp?DDFDocuments/u/G/TBTN22/BDI258A2.docx</v>
      </c>
      <c r="T839" t="str">
        <f>HYPERLINK("https://docs.wto.org/imrd/directdoc.asp?DDFDocuments/v/G/TBTN22/BDI258A2.docx", "https://docs.wto.org/imrd/directdoc.asp?DDFDocuments/v/G/TBTN22/BDI258A2.docx")</f>
        <v>https://docs.wto.org/imrd/directdoc.asp?DDFDocuments/v/G/TBTN22/BDI258A2.docx</v>
      </c>
      <c r="U839" t="s">
        <v>64</v>
      </c>
      <c r="V839" t="s">
        <v>46</v>
      </c>
      <c r="W839" t="s">
        <v>46</v>
      </c>
      <c r="X839" t="s">
        <v>46</v>
      </c>
      <c r="Y839" t="s">
        <v>46</v>
      </c>
      <c r="Z839" t="s">
        <v>46</v>
      </c>
      <c r="AA839" t="s">
        <v>46</v>
      </c>
      <c r="AB839" s="2" t="s">
        <v>43</v>
      </c>
      <c r="AC839" t="s">
        <v>43</v>
      </c>
      <c r="AD839" t="s">
        <v>43</v>
      </c>
      <c r="AE839" t="s">
        <v>43</v>
      </c>
      <c r="AF839" t="s">
        <v>43</v>
      </c>
      <c r="AG839" t="s">
        <v>43</v>
      </c>
      <c r="AH839" s="2" t="s">
        <v>43</v>
      </c>
    </row>
    <row r="840" spans="1:34" ht="60">
      <c r="A840" s="6" t="s">
        <v>390</v>
      </c>
      <c r="B840" s="7">
        <v>46057</v>
      </c>
      <c r="C840" s="9" t="str">
        <f>HYPERLINK("https://eping.wto.org/en/Search?viewData= G/TBT/N/BDI/209/Add.3, G/TBT/N/KEN/1205/Add.3, G/TBT/N/RWA/600/Add.3, G/TBT/N/TZA/700/Add.3, G/TBT/N/UGA/1540/Add.3"," G/TBT/N/BDI/209/Add.3, G/TBT/N/KEN/1205/Add.3, G/TBT/N/RWA/600/Add.3, G/TBT/N/TZA/700/Add.3, G/TBT/N/UGA/1540/Add.3")</f>
        <v xml:space="preserve"> G/TBT/N/BDI/209/Add.3, G/TBT/N/KEN/1205/Add.3, G/TBT/N/RWA/600/Add.3, G/TBT/N/TZA/700/Add.3, G/TBT/N/UGA/1540/Add.3</v>
      </c>
      <c r="D840" s="8" t="s">
        <v>3256</v>
      </c>
      <c r="E840" s="8" t="s">
        <v>3257</v>
      </c>
      <c r="F840" s="8" t="s">
        <v>3258</v>
      </c>
      <c r="G840" s="8" t="s">
        <v>3259</v>
      </c>
      <c r="H840" s="8" t="s">
        <v>3260</v>
      </c>
      <c r="I840" s="8" t="s">
        <v>1035</v>
      </c>
      <c r="J840" s="8" t="s">
        <v>43</v>
      </c>
      <c r="K840" s="8" t="s">
        <v>43</v>
      </c>
      <c r="L840" s="6"/>
      <c r="M840" s="7" t="s">
        <v>43</v>
      </c>
      <c r="N840" s="7"/>
      <c r="O840" s="7"/>
      <c r="P840" s="6" t="s">
        <v>44</v>
      </c>
      <c r="Q840" s="6"/>
      <c r="R840" t="str">
        <f>HYPERLINK("https://docs.wto.org/imrd/directdoc.asp?DDFDocuments/t/G/TBTN22/BDI209A3.docx", "https://docs.wto.org/imrd/directdoc.asp?DDFDocuments/t/G/TBTN22/BDI209A3.docx")</f>
        <v>https://docs.wto.org/imrd/directdoc.asp?DDFDocuments/t/G/TBTN22/BDI209A3.docx</v>
      </c>
      <c r="S840" t="str">
        <f>HYPERLINK("https://docs.wto.org/imrd/directdoc.asp?DDFDocuments/u/G/TBTN22/BDI209A3.docx", "https://docs.wto.org/imrd/directdoc.asp?DDFDocuments/u/G/TBTN22/BDI209A3.docx")</f>
        <v>https://docs.wto.org/imrd/directdoc.asp?DDFDocuments/u/G/TBTN22/BDI209A3.docx</v>
      </c>
      <c r="T840" t="str">
        <f>HYPERLINK("https://docs.wto.org/imrd/directdoc.asp?DDFDocuments/v/G/TBTN22/BDI209A3.docx", "https://docs.wto.org/imrd/directdoc.asp?DDFDocuments/v/G/TBTN22/BDI209A3.docx")</f>
        <v>https://docs.wto.org/imrd/directdoc.asp?DDFDocuments/v/G/TBTN22/BDI209A3.docx</v>
      </c>
      <c r="U840" t="s">
        <v>64</v>
      </c>
      <c r="V840" t="s">
        <v>46</v>
      </c>
      <c r="W840" t="s">
        <v>64</v>
      </c>
      <c r="X840" t="s">
        <v>46</v>
      </c>
      <c r="Y840" t="s">
        <v>46</v>
      </c>
      <c r="Z840" t="s">
        <v>46</v>
      </c>
      <c r="AA840" t="s">
        <v>46</v>
      </c>
      <c r="AB840" s="2" t="s">
        <v>43</v>
      </c>
      <c r="AC840" t="s">
        <v>43</v>
      </c>
      <c r="AD840" t="s">
        <v>43</v>
      </c>
      <c r="AE840" t="s">
        <v>43</v>
      </c>
      <c r="AF840" t="s">
        <v>43</v>
      </c>
      <c r="AG840" t="s">
        <v>43</v>
      </c>
      <c r="AH840" s="2" t="s">
        <v>43</v>
      </c>
    </row>
    <row r="841" spans="1:34" ht="60">
      <c r="A841" s="6" t="s">
        <v>390</v>
      </c>
      <c r="B841" s="7">
        <v>46057</v>
      </c>
      <c r="C841" s="9" t="str">
        <f>HYPERLINK("https://eping.wto.org/en/Search?viewData= G/TBT/N/BDI/205/Add.4, G/TBT/N/KEN/1201/Add.4, G/TBT/N/RWA/596/Add.4, G/TBT/N/TZA/696/Add.4, G/TBT/N/UGA/1536/Add.4"," G/TBT/N/BDI/205/Add.4, G/TBT/N/KEN/1201/Add.4, G/TBT/N/RWA/596/Add.4, G/TBT/N/TZA/696/Add.4, G/TBT/N/UGA/1536/Add.4")</f>
        <v xml:space="preserve"> G/TBT/N/BDI/205/Add.4, G/TBT/N/KEN/1201/Add.4, G/TBT/N/RWA/596/Add.4, G/TBT/N/TZA/696/Add.4, G/TBT/N/UGA/1536/Add.4</v>
      </c>
      <c r="D841" s="8" t="s">
        <v>3273</v>
      </c>
      <c r="E841" s="8" t="s">
        <v>3297</v>
      </c>
      <c r="F841" s="8" t="s">
        <v>3275</v>
      </c>
      <c r="G841" s="8" t="s">
        <v>3259</v>
      </c>
      <c r="H841" s="8" t="s">
        <v>3260</v>
      </c>
      <c r="I841" s="8" t="s">
        <v>1035</v>
      </c>
      <c r="J841" s="8" t="s">
        <v>43</v>
      </c>
      <c r="K841" s="8" t="s">
        <v>350</v>
      </c>
      <c r="L841" s="6"/>
      <c r="M841" s="7" t="s">
        <v>43</v>
      </c>
      <c r="N841" s="7"/>
      <c r="O841" s="7"/>
      <c r="P841" s="6" t="s">
        <v>44</v>
      </c>
      <c r="Q841" s="6"/>
      <c r="R841" t="str">
        <f>HYPERLINK("https://docs.wto.org/imrd/directdoc.asp?DDFDocuments/t/G/TBTN22/BDI205A4.docx", "https://docs.wto.org/imrd/directdoc.asp?DDFDocuments/t/G/TBTN22/BDI205A4.docx")</f>
        <v>https://docs.wto.org/imrd/directdoc.asp?DDFDocuments/t/G/TBTN22/BDI205A4.docx</v>
      </c>
      <c r="S841" t="str">
        <f>HYPERLINK("https://docs.wto.org/imrd/directdoc.asp?DDFDocuments/u/G/TBTN22/BDI205A4.docx", "https://docs.wto.org/imrd/directdoc.asp?DDFDocuments/u/G/TBTN22/BDI205A4.docx")</f>
        <v>https://docs.wto.org/imrd/directdoc.asp?DDFDocuments/u/G/TBTN22/BDI205A4.docx</v>
      </c>
      <c r="T841" t="str">
        <f>HYPERLINK("https://docs.wto.org/imrd/directdoc.asp?DDFDocuments/v/G/TBTN22/BDI205A4.docx", "https://docs.wto.org/imrd/directdoc.asp?DDFDocuments/v/G/TBTN22/BDI205A4.docx")</f>
        <v>https://docs.wto.org/imrd/directdoc.asp?DDFDocuments/v/G/TBTN22/BDI205A4.docx</v>
      </c>
      <c r="U841" t="s">
        <v>64</v>
      </c>
      <c r="V841" t="s">
        <v>46</v>
      </c>
      <c r="W841" t="s">
        <v>64</v>
      </c>
      <c r="X841" t="s">
        <v>46</v>
      </c>
      <c r="Y841" t="s">
        <v>46</v>
      </c>
      <c r="Z841" t="s">
        <v>46</v>
      </c>
      <c r="AA841" t="s">
        <v>46</v>
      </c>
      <c r="AB841" s="2" t="s">
        <v>43</v>
      </c>
      <c r="AC841" t="s">
        <v>43</v>
      </c>
      <c r="AD841" t="s">
        <v>43</v>
      </c>
      <c r="AE841" t="s">
        <v>43</v>
      </c>
      <c r="AF841" t="s">
        <v>43</v>
      </c>
      <c r="AG841" t="s">
        <v>43</v>
      </c>
      <c r="AH841" s="2" t="s">
        <v>43</v>
      </c>
    </row>
    <row r="842" spans="1:34" ht="90">
      <c r="A842" s="6" t="s">
        <v>577</v>
      </c>
      <c r="B842" s="7">
        <v>46057</v>
      </c>
      <c r="C842" s="9" t="str">
        <f>HYPERLINK("https://eping.wto.org/en/Search?viewData= G/TBT/N/BDI/258/Add.2, G/TBT/N/KEN/1287/Add.2, G/TBT/N/RWA/693/Add.2, G/TBT/N/TZA/812/Add.2, G/TBT/N/UGA/1663/Add.2"," G/TBT/N/BDI/258/Add.2, G/TBT/N/KEN/1287/Add.2, G/TBT/N/RWA/693/Add.2, G/TBT/N/TZA/812/Add.2, G/TBT/N/UGA/1663/Add.2")</f>
        <v xml:space="preserve"> G/TBT/N/BDI/258/Add.2, G/TBT/N/KEN/1287/Add.2, G/TBT/N/RWA/693/Add.2, G/TBT/N/TZA/812/Add.2, G/TBT/N/UGA/1663/Add.2</v>
      </c>
      <c r="D842" s="8" t="s">
        <v>3288</v>
      </c>
      <c r="E842" s="8" t="s">
        <v>3289</v>
      </c>
      <c r="F842" s="8" t="s">
        <v>3290</v>
      </c>
      <c r="G842" s="8" t="s">
        <v>43</v>
      </c>
      <c r="H842" s="8" t="s">
        <v>3291</v>
      </c>
      <c r="I842" s="8" t="s">
        <v>3292</v>
      </c>
      <c r="J842" s="8" t="s">
        <v>43</v>
      </c>
      <c r="K842" s="8" t="s">
        <v>1029</v>
      </c>
      <c r="L842" s="6"/>
      <c r="M842" s="7" t="s">
        <v>43</v>
      </c>
      <c r="N842" s="7"/>
      <c r="O842" s="7"/>
      <c r="P842" s="6" t="s">
        <v>44</v>
      </c>
      <c r="Q842" s="6"/>
      <c r="R842" t="str">
        <f>HYPERLINK("https://docs.wto.org/imrd/directdoc.asp?DDFDocuments/t/G/TBTN22/BDI258A2.docx", "https://docs.wto.org/imrd/directdoc.asp?DDFDocuments/t/G/TBTN22/BDI258A2.docx")</f>
        <v>https://docs.wto.org/imrd/directdoc.asp?DDFDocuments/t/G/TBTN22/BDI258A2.docx</v>
      </c>
      <c r="S842" t="str">
        <f>HYPERLINK("https://docs.wto.org/imrd/directdoc.asp?DDFDocuments/u/G/TBTN22/BDI258A2.docx", "https://docs.wto.org/imrd/directdoc.asp?DDFDocuments/u/G/TBTN22/BDI258A2.docx")</f>
        <v>https://docs.wto.org/imrd/directdoc.asp?DDFDocuments/u/G/TBTN22/BDI258A2.docx</v>
      </c>
      <c r="T842" t="str">
        <f>HYPERLINK("https://docs.wto.org/imrd/directdoc.asp?DDFDocuments/v/G/TBTN22/BDI258A2.docx", "https://docs.wto.org/imrd/directdoc.asp?DDFDocuments/v/G/TBTN22/BDI258A2.docx")</f>
        <v>https://docs.wto.org/imrd/directdoc.asp?DDFDocuments/v/G/TBTN22/BDI258A2.docx</v>
      </c>
      <c r="U842" t="s">
        <v>64</v>
      </c>
      <c r="V842" t="s">
        <v>46</v>
      </c>
      <c r="W842" t="s">
        <v>46</v>
      </c>
      <c r="X842" t="s">
        <v>46</v>
      </c>
      <c r="Y842" t="s">
        <v>46</v>
      </c>
      <c r="Z842" t="s">
        <v>46</v>
      </c>
      <c r="AA842" t="s">
        <v>46</v>
      </c>
      <c r="AB842" s="2" t="s">
        <v>43</v>
      </c>
      <c r="AC842" t="s">
        <v>43</v>
      </c>
      <c r="AD842" t="s">
        <v>43</v>
      </c>
      <c r="AE842" t="s">
        <v>43</v>
      </c>
      <c r="AF842" t="s">
        <v>43</v>
      </c>
      <c r="AG842" t="s">
        <v>43</v>
      </c>
      <c r="AH842" s="2" t="s">
        <v>43</v>
      </c>
    </row>
    <row r="843" spans="1:34" ht="90">
      <c r="A843" s="6" t="s">
        <v>509</v>
      </c>
      <c r="B843" s="7">
        <v>46057</v>
      </c>
      <c r="C843" s="9" t="str">
        <f>HYPERLINK("https://eping.wto.org/en/Search?viewData= G/TBT/N/BDI/258/Add.2, G/TBT/N/KEN/1287/Add.2, G/TBT/N/RWA/693/Add.2, G/TBT/N/TZA/812/Add.2, G/TBT/N/UGA/1663/Add.2"," G/TBT/N/BDI/258/Add.2, G/TBT/N/KEN/1287/Add.2, G/TBT/N/RWA/693/Add.2, G/TBT/N/TZA/812/Add.2, G/TBT/N/UGA/1663/Add.2")</f>
        <v xml:space="preserve"> G/TBT/N/BDI/258/Add.2, G/TBT/N/KEN/1287/Add.2, G/TBT/N/RWA/693/Add.2, G/TBT/N/TZA/812/Add.2, G/TBT/N/UGA/1663/Add.2</v>
      </c>
      <c r="D843" s="8" t="s">
        <v>3288</v>
      </c>
      <c r="E843" s="8" t="s">
        <v>3289</v>
      </c>
      <c r="F843" s="8" t="s">
        <v>3290</v>
      </c>
      <c r="G843" s="8" t="s">
        <v>43</v>
      </c>
      <c r="H843" s="8" t="s">
        <v>3291</v>
      </c>
      <c r="I843" s="8" t="s">
        <v>3292</v>
      </c>
      <c r="J843" s="8" t="s">
        <v>43</v>
      </c>
      <c r="K843" s="8" t="s">
        <v>1029</v>
      </c>
      <c r="L843" s="6"/>
      <c r="M843" s="7" t="s">
        <v>43</v>
      </c>
      <c r="N843" s="7"/>
      <c r="O843" s="7"/>
      <c r="P843" s="6" t="s">
        <v>44</v>
      </c>
      <c r="Q843" s="6"/>
      <c r="R843" t="str">
        <f>HYPERLINK("https://docs.wto.org/imrd/directdoc.asp?DDFDocuments/t/G/TBTN22/BDI258A2.docx", "https://docs.wto.org/imrd/directdoc.asp?DDFDocuments/t/G/TBTN22/BDI258A2.docx")</f>
        <v>https://docs.wto.org/imrd/directdoc.asp?DDFDocuments/t/G/TBTN22/BDI258A2.docx</v>
      </c>
      <c r="S843" t="str">
        <f>HYPERLINK("https://docs.wto.org/imrd/directdoc.asp?DDFDocuments/u/G/TBTN22/BDI258A2.docx", "https://docs.wto.org/imrd/directdoc.asp?DDFDocuments/u/G/TBTN22/BDI258A2.docx")</f>
        <v>https://docs.wto.org/imrd/directdoc.asp?DDFDocuments/u/G/TBTN22/BDI258A2.docx</v>
      </c>
      <c r="T843" t="str">
        <f>HYPERLINK("https://docs.wto.org/imrd/directdoc.asp?DDFDocuments/v/G/TBTN22/BDI258A2.docx", "https://docs.wto.org/imrd/directdoc.asp?DDFDocuments/v/G/TBTN22/BDI258A2.docx")</f>
        <v>https://docs.wto.org/imrd/directdoc.asp?DDFDocuments/v/G/TBTN22/BDI258A2.docx</v>
      </c>
      <c r="U843" t="s">
        <v>64</v>
      </c>
      <c r="V843" t="s">
        <v>46</v>
      </c>
      <c r="W843" t="s">
        <v>46</v>
      </c>
      <c r="X843" t="s">
        <v>46</v>
      </c>
      <c r="Y843" t="s">
        <v>46</v>
      </c>
      <c r="Z843" t="s">
        <v>46</v>
      </c>
      <c r="AA843" t="s">
        <v>46</v>
      </c>
      <c r="AB843" s="2" t="s">
        <v>43</v>
      </c>
      <c r="AC843" t="s">
        <v>43</v>
      </c>
      <c r="AD843" t="s">
        <v>43</v>
      </c>
      <c r="AE843" t="s">
        <v>43</v>
      </c>
      <c r="AF843" t="s">
        <v>43</v>
      </c>
      <c r="AG843" t="s">
        <v>43</v>
      </c>
      <c r="AH843" s="2" t="s">
        <v>43</v>
      </c>
    </row>
    <row r="844" spans="1:34" ht="90">
      <c r="A844" s="6" t="s">
        <v>509</v>
      </c>
      <c r="B844" s="7">
        <v>46057</v>
      </c>
      <c r="C844" s="9" t="str">
        <f>HYPERLINK("https://eping.wto.org/en/Search?viewData= G/TBT/N/BDI/209/Add.3, G/TBT/N/KEN/1205/Add.3, G/TBT/N/RWA/600/Add.3, G/TBT/N/TZA/700/Add.3, G/TBT/N/UGA/1540/Add.3"," G/TBT/N/BDI/209/Add.3, G/TBT/N/KEN/1205/Add.3, G/TBT/N/RWA/600/Add.3, G/TBT/N/TZA/700/Add.3, G/TBT/N/UGA/1540/Add.3")</f>
        <v xml:space="preserve"> G/TBT/N/BDI/209/Add.3, G/TBT/N/KEN/1205/Add.3, G/TBT/N/RWA/600/Add.3, G/TBT/N/TZA/700/Add.3, G/TBT/N/UGA/1540/Add.3</v>
      </c>
      <c r="D844" s="8" t="s">
        <v>3256</v>
      </c>
      <c r="E844" s="8" t="s">
        <v>3257</v>
      </c>
      <c r="F844" s="8" t="s">
        <v>3258</v>
      </c>
      <c r="G844" s="8" t="s">
        <v>3259</v>
      </c>
      <c r="H844" s="8" t="s">
        <v>3260</v>
      </c>
      <c r="I844" s="8" t="s">
        <v>3261</v>
      </c>
      <c r="J844" s="8" t="s">
        <v>43</v>
      </c>
      <c r="K844" s="8" t="s">
        <v>43</v>
      </c>
      <c r="L844" s="6"/>
      <c r="M844" s="7" t="s">
        <v>43</v>
      </c>
      <c r="N844" s="7"/>
      <c r="O844" s="7"/>
      <c r="P844" s="6" t="s">
        <v>44</v>
      </c>
      <c r="Q844" s="6"/>
      <c r="R844" t="str">
        <f>HYPERLINK("https://docs.wto.org/imrd/directdoc.asp?DDFDocuments/t/G/TBTN22/BDI209A3.docx", "https://docs.wto.org/imrd/directdoc.asp?DDFDocuments/t/G/TBTN22/BDI209A3.docx")</f>
        <v>https://docs.wto.org/imrd/directdoc.asp?DDFDocuments/t/G/TBTN22/BDI209A3.docx</v>
      </c>
      <c r="S844" t="str">
        <f>HYPERLINK("https://docs.wto.org/imrd/directdoc.asp?DDFDocuments/u/G/TBTN22/BDI209A3.docx", "https://docs.wto.org/imrd/directdoc.asp?DDFDocuments/u/G/TBTN22/BDI209A3.docx")</f>
        <v>https://docs.wto.org/imrd/directdoc.asp?DDFDocuments/u/G/TBTN22/BDI209A3.docx</v>
      </c>
      <c r="T844" t="str">
        <f>HYPERLINK("https://docs.wto.org/imrd/directdoc.asp?DDFDocuments/v/G/TBTN22/BDI209A3.docx", "https://docs.wto.org/imrd/directdoc.asp?DDFDocuments/v/G/TBTN22/BDI209A3.docx")</f>
        <v>https://docs.wto.org/imrd/directdoc.asp?DDFDocuments/v/G/TBTN22/BDI209A3.docx</v>
      </c>
      <c r="U844" t="s">
        <v>64</v>
      </c>
      <c r="V844" t="s">
        <v>46</v>
      </c>
      <c r="W844" t="s">
        <v>64</v>
      </c>
      <c r="X844" t="s">
        <v>46</v>
      </c>
      <c r="Y844" t="s">
        <v>46</v>
      </c>
      <c r="Z844" t="s">
        <v>46</v>
      </c>
      <c r="AA844" t="s">
        <v>46</v>
      </c>
      <c r="AB844" s="2" t="s">
        <v>43</v>
      </c>
      <c r="AC844" t="s">
        <v>43</v>
      </c>
      <c r="AD844" t="s">
        <v>43</v>
      </c>
      <c r="AE844" t="s">
        <v>43</v>
      </c>
      <c r="AF844" t="s">
        <v>43</v>
      </c>
      <c r="AG844" t="s">
        <v>43</v>
      </c>
      <c r="AH844" s="2" t="s">
        <v>43</v>
      </c>
    </row>
    <row r="845" spans="1:34" ht="90">
      <c r="A845" s="6" t="s">
        <v>509</v>
      </c>
      <c r="B845" s="7">
        <v>46057</v>
      </c>
      <c r="C845" s="9" t="str">
        <f>HYPERLINK("https://eping.wto.org/en/Search?viewData= G/TBT/N/BDI/204/Add.2, G/TBT/N/KEN/1200/Add.2, G/TBT/N/RWA/595/Add.2, G/TBT/N/TZA/695/Add.2, G/TBT/N/UGA/1535/Add.2"," G/TBT/N/BDI/204/Add.2, G/TBT/N/KEN/1200/Add.2, G/TBT/N/RWA/595/Add.2, G/TBT/N/TZA/695/Add.2, G/TBT/N/UGA/1535/Add.2")</f>
        <v xml:space="preserve"> G/TBT/N/BDI/204/Add.2, G/TBT/N/KEN/1200/Add.2, G/TBT/N/RWA/595/Add.2, G/TBT/N/TZA/695/Add.2, G/TBT/N/UGA/1535/Add.2</v>
      </c>
      <c r="D845" s="8" t="s">
        <v>3293</v>
      </c>
      <c r="E845" s="8" t="s">
        <v>3294</v>
      </c>
      <c r="F845" s="8" t="s">
        <v>3295</v>
      </c>
      <c r="G845" s="8" t="s">
        <v>3296</v>
      </c>
      <c r="H845" s="8" t="s">
        <v>3260</v>
      </c>
      <c r="I845" s="8" t="s">
        <v>3261</v>
      </c>
      <c r="J845" s="8" t="s">
        <v>43</v>
      </c>
      <c r="K845" s="8" t="s">
        <v>350</v>
      </c>
      <c r="L845" s="6"/>
      <c r="M845" s="7" t="s">
        <v>43</v>
      </c>
      <c r="N845" s="7"/>
      <c r="O845" s="7"/>
      <c r="P845" s="6" t="s">
        <v>44</v>
      </c>
      <c r="Q845" s="6"/>
      <c r="R845" t="str">
        <f>HYPERLINK("https://docs.wto.org/imrd/directdoc.asp?DDFDocuments/t/G/TBTN22/BDI204A2.docx", "https://docs.wto.org/imrd/directdoc.asp?DDFDocuments/t/G/TBTN22/BDI204A2.docx")</f>
        <v>https://docs.wto.org/imrd/directdoc.asp?DDFDocuments/t/G/TBTN22/BDI204A2.docx</v>
      </c>
      <c r="S845" t="str">
        <f>HYPERLINK("https://docs.wto.org/imrd/directdoc.asp?DDFDocuments/u/G/TBTN22/BDI204A2.docx", "https://docs.wto.org/imrd/directdoc.asp?DDFDocuments/u/G/TBTN22/BDI204A2.docx")</f>
        <v>https://docs.wto.org/imrd/directdoc.asp?DDFDocuments/u/G/TBTN22/BDI204A2.docx</v>
      </c>
      <c r="T845" t="str">
        <f>HYPERLINK("https://docs.wto.org/imrd/directdoc.asp?DDFDocuments/v/G/TBTN22/BDI204A2.docx", "https://docs.wto.org/imrd/directdoc.asp?DDFDocuments/v/G/TBTN22/BDI204A2.docx")</f>
        <v>https://docs.wto.org/imrd/directdoc.asp?DDFDocuments/v/G/TBTN22/BDI204A2.docx</v>
      </c>
      <c r="U845" t="s">
        <v>64</v>
      </c>
      <c r="V845" t="s">
        <v>46</v>
      </c>
      <c r="W845" t="s">
        <v>64</v>
      </c>
      <c r="X845" t="s">
        <v>46</v>
      </c>
      <c r="Y845" t="s">
        <v>46</v>
      </c>
      <c r="Z845" t="s">
        <v>46</v>
      </c>
      <c r="AA845" t="s">
        <v>46</v>
      </c>
      <c r="AB845" s="2" t="s">
        <v>43</v>
      </c>
      <c r="AC845" t="s">
        <v>43</v>
      </c>
      <c r="AD845" t="s">
        <v>43</v>
      </c>
      <c r="AE845" t="s">
        <v>43</v>
      </c>
      <c r="AF845" t="s">
        <v>43</v>
      </c>
      <c r="AG845" t="s">
        <v>43</v>
      </c>
      <c r="AH845" s="2" t="s">
        <v>43</v>
      </c>
    </row>
    <row r="846" spans="1:34" ht="135">
      <c r="A846" s="6" t="s">
        <v>356</v>
      </c>
      <c r="B846" s="7">
        <v>46057</v>
      </c>
      <c r="C846" s="9" t="str">
        <f>HYPERLINK("https://eping.wto.org/en/Search?viewData= G/SPS/N/EU/914"," G/SPS/N/EU/914")</f>
        <v xml:space="preserve"> G/SPS/N/EU/914</v>
      </c>
      <c r="D846" s="8" t="s">
        <v>3370</v>
      </c>
      <c r="E846" s="8" t="s">
        <v>3371</v>
      </c>
      <c r="F846" s="8" t="s">
        <v>359</v>
      </c>
      <c r="G846" s="8" t="s">
        <v>156</v>
      </c>
      <c r="H846" s="8" t="s">
        <v>43</v>
      </c>
      <c r="I846" s="8" t="s">
        <v>361</v>
      </c>
      <c r="J846" s="8" t="s">
        <v>43</v>
      </c>
      <c r="K846" s="8" t="s">
        <v>749</v>
      </c>
      <c r="L846" s="6"/>
      <c r="M846" s="7" t="s">
        <v>43</v>
      </c>
      <c r="N846" s="7">
        <v>46048</v>
      </c>
      <c r="O846" s="7" t="s">
        <v>1184</v>
      </c>
      <c r="P846" s="6" t="s">
        <v>62</v>
      </c>
      <c r="Q846" s="8" t="s">
        <v>3372</v>
      </c>
      <c r="R846" t="str">
        <f>HYPERLINK("https://docs.wto.org/imrd/directdoc.asp?DDFDocuments/t/G/SPS/NEU914.docx", "https://docs.wto.org/imrd/directdoc.asp?DDFDocuments/t/G/SPS/NEU914.docx")</f>
        <v>https://docs.wto.org/imrd/directdoc.asp?DDFDocuments/t/G/SPS/NEU914.docx</v>
      </c>
      <c r="S846" t="str">
        <f>HYPERLINK("https://docs.wto.org/imrd/directdoc.asp?DDFDocuments/u/G/SPS/NEU914.docx", "https://docs.wto.org/imrd/directdoc.asp?DDFDocuments/u/G/SPS/NEU914.docx")</f>
        <v>https://docs.wto.org/imrd/directdoc.asp?DDFDocuments/u/G/SPS/NEU914.docx</v>
      </c>
      <c r="T846" t="str">
        <f>HYPERLINK("https://docs.wto.org/imrd/directdoc.asp?DDFDocuments/v/G/SPS/NEU914.docx", "https://docs.wto.org/imrd/directdoc.asp?DDFDocuments/v/G/SPS/NEU914.docx")</f>
        <v>https://docs.wto.org/imrd/directdoc.asp?DDFDocuments/v/G/SPS/NEU914.docx</v>
      </c>
      <c r="U846" t="s">
        <v>43</v>
      </c>
      <c r="V846" t="s">
        <v>43</v>
      </c>
      <c r="W846" t="s">
        <v>43</v>
      </c>
      <c r="X846" t="s">
        <v>43</v>
      </c>
      <c r="Y846" t="s">
        <v>43</v>
      </c>
      <c r="Z846" t="s">
        <v>43</v>
      </c>
      <c r="AA846" t="s">
        <v>43</v>
      </c>
      <c r="AB846" s="2" t="s">
        <v>43</v>
      </c>
      <c r="AC846" t="s">
        <v>64</v>
      </c>
      <c r="AD846" t="s">
        <v>46</v>
      </c>
      <c r="AE846" t="s">
        <v>46</v>
      </c>
      <c r="AF846" t="s">
        <v>46</v>
      </c>
      <c r="AG846" t="s">
        <v>64</v>
      </c>
      <c r="AH846" s="2" t="s">
        <v>43</v>
      </c>
    </row>
    <row r="847" spans="1:34" ht="60">
      <c r="A847" s="6" t="s">
        <v>47</v>
      </c>
      <c r="B847" s="7">
        <v>46056</v>
      </c>
      <c r="C847" s="9" t="str">
        <f>HYPERLINK("https://eping.wto.org/en/Search?viewData= G/TBT/N/CAN/754/Add.1"," G/TBT/N/CAN/754/Add.1")</f>
        <v xml:space="preserve"> G/TBT/N/CAN/754/Add.1</v>
      </c>
      <c r="D847" s="8" t="s">
        <v>3373</v>
      </c>
      <c r="E847" s="8" t="s">
        <v>3374</v>
      </c>
      <c r="F847" s="8" t="s">
        <v>50</v>
      </c>
      <c r="G847" s="8" t="s">
        <v>43</v>
      </c>
      <c r="H847" s="8" t="s">
        <v>51</v>
      </c>
      <c r="I847" s="8" t="s">
        <v>52</v>
      </c>
      <c r="J847" s="8" t="s">
        <v>53</v>
      </c>
      <c r="K847" s="8" t="s">
        <v>43</v>
      </c>
      <c r="L847" s="6"/>
      <c r="M847" s="7" t="s">
        <v>43</v>
      </c>
      <c r="N847" s="7"/>
      <c r="O847" s="7"/>
      <c r="P847" s="6" t="s">
        <v>44</v>
      </c>
      <c r="Q847" s="6"/>
      <c r="R847" t="str">
        <f>HYPERLINK("https://docs.wto.org/imrd/directdoc.asp?DDFDocuments/t/G/TBTN25/CAN754A1.docx", "https://docs.wto.org/imrd/directdoc.asp?DDFDocuments/t/G/TBTN25/CAN754A1.docx")</f>
        <v>https://docs.wto.org/imrd/directdoc.asp?DDFDocuments/t/G/TBTN25/CAN754A1.docx</v>
      </c>
      <c r="S847" t="str">
        <f>HYPERLINK("https://docs.wto.org/imrd/directdoc.asp?DDFDocuments/u/G/TBTN25/CAN754A1.docx", "https://docs.wto.org/imrd/directdoc.asp?DDFDocuments/u/G/TBTN25/CAN754A1.docx")</f>
        <v>https://docs.wto.org/imrd/directdoc.asp?DDFDocuments/u/G/TBTN25/CAN754A1.docx</v>
      </c>
      <c r="T847" t="str">
        <f>HYPERLINK("https://docs.wto.org/imrd/directdoc.asp?DDFDocuments/v/G/TBTN25/CAN754A1.docx", "https://docs.wto.org/imrd/directdoc.asp?DDFDocuments/v/G/TBTN25/CAN754A1.docx")</f>
        <v>https://docs.wto.org/imrd/directdoc.asp?DDFDocuments/v/G/TBTN25/CAN754A1.docx</v>
      </c>
      <c r="U847" t="s">
        <v>46</v>
      </c>
      <c r="V847" t="s">
        <v>46</v>
      </c>
      <c r="W847" t="s">
        <v>46</v>
      </c>
      <c r="X847" t="s">
        <v>46</v>
      </c>
      <c r="Y847" t="s">
        <v>46</v>
      </c>
      <c r="Z847" t="s">
        <v>46</v>
      </c>
      <c r="AA847" t="s">
        <v>46</v>
      </c>
      <c r="AB847" s="2" t="s">
        <v>43</v>
      </c>
      <c r="AC847" t="s">
        <v>43</v>
      </c>
      <c r="AD847" t="s">
        <v>43</v>
      </c>
      <c r="AE847" t="s">
        <v>43</v>
      </c>
      <c r="AF847" t="s">
        <v>43</v>
      </c>
      <c r="AG847" t="s">
        <v>43</v>
      </c>
      <c r="AH847" s="2" t="s">
        <v>43</v>
      </c>
    </row>
    <row r="848" spans="1:34" ht="60">
      <c r="A848" s="6" t="s">
        <v>338</v>
      </c>
      <c r="B848" s="7">
        <v>46056</v>
      </c>
      <c r="C848" s="9" t="str">
        <f>HYPERLINK("https://eping.wto.org/en/Search?viewData= G/SPS/N/SAU/439/Add.1"," G/SPS/N/SAU/439/Add.1")</f>
        <v xml:space="preserve"> G/SPS/N/SAU/439/Add.1</v>
      </c>
      <c r="D848" s="8" t="s">
        <v>3375</v>
      </c>
      <c r="E848" s="8" t="s">
        <v>3376</v>
      </c>
      <c r="F848" s="8" t="s">
        <v>3377</v>
      </c>
      <c r="G848" s="8" t="s">
        <v>43</v>
      </c>
      <c r="H848" s="8" t="s">
        <v>2868</v>
      </c>
      <c r="I848" s="8" t="s">
        <v>58</v>
      </c>
      <c r="J848" s="8" t="s">
        <v>43</v>
      </c>
      <c r="K848" s="8" t="s">
        <v>3378</v>
      </c>
      <c r="L848" s="6"/>
      <c r="M848" s="7">
        <v>46116</v>
      </c>
      <c r="N848" s="7"/>
      <c r="O848" s="7"/>
      <c r="P848" s="6" t="s">
        <v>44</v>
      </c>
      <c r="Q848" s="8" t="s">
        <v>3379</v>
      </c>
      <c r="R848" t="str">
        <f>HYPERLINK("https://docs.wto.org/imrd/directdoc.asp?DDFDocuments/t/G/SPS/NSAU439A1.docx", "https://docs.wto.org/imrd/directdoc.asp?DDFDocuments/t/G/SPS/NSAU439A1.docx")</f>
        <v>https://docs.wto.org/imrd/directdoc.asp?DDFDocuments/t/G/SPS/NSAU439A1.docx</v>
      </c>
      <c r="S848" t="str">
        <f>HYPERLINK("https://docs.wto.org/imrd/directdoc.asp?DDFDocuments/u/G/SPS/NSAU439A1.docx", "https://docs.wto.org/imrd/directdoc.asp?DDFDocuments/u/G/SPS/NSAU439A1.docx")</f>
        <v>https://docs.wto.org/imrd/directdoc.asp?DDFDocuments/u/G/SPS/NSAU439A1.docx</v>
      </c>
      <c r="T848" t="str">
        <f>HYPERLINK("https://docs.wto.org/imrd/directdoc.asp?DDFDocuments/v/G/SPS/NSAU439A1.docx", "https://docs.wto.org/imrd/directdoc.asp?DDFDocuments/v/G/SPS/NSAU439A1.docx")</f>
        <v>https://docs.wto.org/imrd/directdoc.asp?DDFDocuments/v/G/SPS/NSAU439A1.docx</v>
      </c>
      <c r="U848" t="s">
        <v>43</v>
      </c>
      <c r="V848" t="s">
        <v>43</v>
      </c>
      <c r="W848" t="s">
        <v>43</v>
      </c>
      <c r="X848" t="s">
        <v>43</v>
      </c>
      <c r="Y848" t="s">
        <v>43</v>
      </c>
      <c r="Z848" t="s">
        <v>43</v>
      </c>
      <c r="AA848" t="s">
        <v>43</v>
      </c>
      <c r="AB848" s="2" t="s">
        <v>43</v>
      </c>
      <c r="AC848" t="s">
        <v>43</v>
      </c>
      <c r="AD848" t="s">
        <v>43</v>
      </c>
      <c r="AE848" t="s">
        <v>43</v>
      </c>
      <c r="AF848" t="s">
        <v>43</v>
      </c>
      <c r="AG848" t="s">
        <v>43</v>
      </c>
      <c r="AH848" s="2" t="s">
        <v>43</v>
      </c>
    </row>
    <row r="849" spans="1:34" ht="60">
      <c r="A849" s="6" t="s">
        <v>132</v>
      </c>
      <c r="B849" s="7">
        <v>46056</v>
      </c>
      <c r="C849" s="9" t="str">
        <f>HYPERLINK("https://eping.wto.org/en/Search?viewData= G/SPS/N/USA/3548"," G/SPS/N/USA/3548")</f>
        <v xml:space="preserve"> G/SPS/N/USA/3548</v>
      </c>
      <c r="D849" s="8" t="s">
        <v>3380</v>
      </c>
      <c r="E849" s="8" t="s">
        <v>3381</v>
      </c>
      <c r="F849" s="8" t="s">
        <v>3382</v>
      </c>
      <c r="G849" s="8" t="s">
        <v>43</v>
      </c>
      <c r="H849" s="8" t="s">
        <v>43</v>
      </c>
      <c r="I849" s="8" t="s">
        <v>58</v>
      </c>
      <c r="J849" s="8" t="s">
        <v>43</v>
      </c>
      <c r="K849" s="8" t="s">
        <v>2637</v>
      </c>
      <c r="L849" s="6" t="s">
        <v>43</v>
      </c>
      <c r="M849" s="7">
        <v>46085</v>
      </c>
      <c r="N849" s="7" t="s">
        <v>304</v>
      </c>
      <c r="O849" s="7" t="s">
        <v>304</v>
      </c>
      <c r="P849" s="6" t="s">
        <v>62</v>
      </c>
      <c r="Q849" s="8" t="s">
        <v>3383</v>
      </c>
      <c r="R849" t="str">
        <f>HYPERLINK("https://docs.wto.org/imrd/directdoc.asp?DDFDocuments/t/G/SPS/NUSA3548.docx", "https://docs.wto.org/imrd/directdoc.asp?DDFDocuments/t/G/SPS/NUSA3548.docx")</f>
        <v>https://docs.wto.org/imrd/directdoc.asp?DDFDocuments/t/G/SPS/NUSA3548.docx</v>
      </c>
      <c r="S849" t="str">
        <f>HYPERLINK("https://docs.wto.org/imrd/directdoc.asp?DDFDocuments/u/G/SPS/NUSA3548.docx", "https://docs.wto.org/imrd/directdoc.asp?DDFDocuments/u/G/SPS/NUSA3548.docx")</f>
        <v>https://docs.wto.org/imrd/directdoc.asp?DDFDocuments/u/G/SPS/NUSA3548.docx</v>
      </c>
      <c r="T849" t="str">
        <f>HYPERLINK("https://docs.wto.org/imrd/directdoc.asp?DDFDocuments/v/G/SPS/NUSA3548.docx", "https://docs.wto.org/imrd/directdoc.asp?DDFDocuments/v/G/SPS/NUSA3548.docx")</f>
        <v>https://docs.wto.org/imrd/directdoc.asp?DDFDocuments/v/G/SPS/NUSA3548.docx</v>
      </c>
      <c r="U849" t="s">
        <v>43</v>
      </c>
      <c r="V849" t="s">
        <v>43</v>
      </c>
      <c r="W849" t="s">
        <v>43</v>
      </c>
      <c r="X849" t="s">
        <v>43</v>
      </c>
      <c r="Y849" t="s">
        <v>43</v>
      </c>
      <c r="Z849" t="s">
        <v>43</v>
      </c>
      <c r="AA849" t="s">
        <v>43</v>
      </c>
      <c r="AB849" s="2" t="s">
        <v>43</v>
      </c>
      <c r="AC849" t="s">
        <v>46</v>
      </c>
      <c r="AD849" t="s">
        <v>46</v>
      </c>
      <c r="AE849" t="s">
        <v>46</v>
      </c>
      <c r="AF849" t="s">
        <v>64</v>
      </c>
      <c r="AG849" t="s">
        <v>99</v>
      </c>
      <c r="AH849" s="2" t="s">
        <v>43</v>
      </c>
    </row>
    <row r="850" spans="1:34" ht="60">
      <c r="A850" s="6" t="s">
        <v>132</v>
      </c>
      <c r="B850" s="7">
        <v>46056</v>
      </c>
      <c r="C850" s="9" t="str">
        <f>HYPERLINK("https://eping.wto.org/en/Search?viewData= G/SPS/N/USA/3547"," G/SPS/N/USA/3547")</f>
        <v xml:space="preserve"> G/SPS/N/USA/3547</v>
      </c>
      <c r="D850" s="8" t="s">
        <v>3384</v>
      </c>
      <c r="E850" s="8" t="s">
        <v>3381</v>
      </c>
      <c r="F850" s="8" t="s">
        <v>3382</v>
      </c>
      <c r="G850" s="8" t="s">
        <v>43</v>
      </c>
      <c r="H850" s="8" t="s">
        <v>43</v>
      </c>
      <c r="I850" s="8" t="s">
        <v>58</v>
      </c>
      <c r="J850" s="8" t="s">
        <v>43</v>
      </c>
      <c r="K850" s="8" t="s">
        <v>3228</v>
      </c>
      <c r="L850" s="6" t="s">
        <v>43</v>
      </c>
      <c r="M850" s="7">
        <v>46080</v>
      </c>
      <c r="N850" s="7" t="s">
        <v>304</v>
      </c>
      <c r="O850" s="7" t="s">
        <v>304</v>
      </c>
      <c r="P850" s="6" t="s">
        <v>62</v>
      </c>
      <c r="Q850" s="8" t="s">
        <v>3385</v>
      </c>
      <c r="R850" t="str">
        <f>HYPERLINK("https://docs.wto.org/imrd/directdoc.asp?DDFDocuments/t/G/SPS/NUSA3547.docx", "https://docs.wto.org/imrd/directdoc.asp?DDFDocuments/t/G/SPS/NUSA3547.docx")</f>
        <v>https://docs.wto.org/imrd/directdoc.asp?DDFDocuments/t/G/SPS/NUSA3547.docx</v>
      </c>
      <c r="S850" t="str">
        <f>HYPERLINK("https://docs.wto.org/imrd/directdoc.asp?DDFDocuments/u/G/SPS/NUSA3547.docx", "https://docs.wto.org/imrd/directdoc.asp?DDFDocuments/u/G/SPS/NUSA3547.docx")</f>
        <v>https://docs.wto.org/imrd/directdoc.asp?DDFDocuments/u/G/SPS/NUSA3547.docx</v>
      </c>
      <c r="T850" t="str">
        <f>HYPERLINK("https://docs.wto.org/imrd/directdoc.asp?DDFDocuments/v/G/SPS/NUSA3547.docx", "https://docs.wto.org/imrd/directdoc.asp?DDFDocuments/v/G/SPS/NUSA3547.docx")</f>
        <v>https://docs.wto.org/imrd/directdoc.asp?DDFDocuments/v/G/SPS/NUSA3547.docx</v>
      </c>
      <c r="U850" t="s">
        <v>43</v>
      </c>
      <c r="V850" t="s">
        <v>43</v>
      </c>
      <c r="W850" t="s">
        <v>43</v>
      </c>
      <c r="X850" t="s">
        <v>43</v>
      </c>
      <c r="Y850" t="s">
        <v>43</v>
      </c>
      <c r="Z850" t="s">
        <v>43</v>
      </c>
      <c r="AA850" t="s">
        <v>43</v>
      </c>
      <c r="AB850" s="2" t="s">
        <v>43</v>
      </c>
      <c r="AC850" t="s">
        <v>46</v>
      </c>
      <c r="AD850" t="s">
        <v>46</v>
      </c>
      <c r="AE850" t="s">
        <v>46</v>
      </c>
      <c r="AF850" t="s">
        <v>64</v>
      </c>
      <c r="AG850" t="s">
        <v>99</v>
      </c>
      <c r="AH850" s="2" t="s">
        <v>43</v>
      </c>
    </row>
    <row r="851" spans="1:34" ht="375">
      <c r="A851" s="6" t="s">
        <v>1886</v>
      </c>
      <c r="B851" s="7">
        <v>46056</v>
      </c>
      <c r="C851" s="9" t="str">
        <f>HYPERLINK("https://eping.wto.org/en/Search?viewData= G/TBT/N/KWT/483/Add.3"," G/TBT/N/KWT/483/Add.3")</f>
        <v xml:space="preserve"> G/TBT/N/KWT/483/Add.3</v>
      </c>
      <c r="D851" s="8" t="s">
        <v>3386</v>
      </c>
      <c r="E851" s="8" t="s">
        <v>3387</v>
      </c>
      <c r="F851" s="8" t="s">
        <v>3388</v>
      </c>
      <c r="G851" s="8" t="s">
        <v>43</v>
      </c>
      <c r="H851" s="8" t="s">
        <v>3389</v>
      </c>
      <c r="I851" s="8" t="s">
        <v>3083</v>
      </c>
      <c r="J851" s="8" t="s">
        <v>3390</v>
      </c>
      <c r="K851" s="8" t="s">
        <v>1029</v>
      </c>
      <c r="L851" s="6"/>
      <c r="M851" s="7" t="s">
        <v>43</v>
      </c>
      <c r="N851" s="7"/>
      <c r="O851" s="7"/>
      <c r="P851" s="6" t="s">
        <v>44</v>
      </c>
      <c r="Q851" s="8" t="s">
        <v>3391</v>
      </c>
      <c r="R851" t="str">
        <f>HYPERLINK("https://docs.wto.org/imrd/directdoc.asp?DDFDocuments/t/G/TBTN19/KWT483A3.docx", "https://docs.wto.org/imrd/directdoc.asp?DDFDocuments/t/G/TBTN19/KWT483A3.docx")</f>
        <v>https://docs.wto.org/imrd/directdoc.asp?DDFDocuments/t/G/TBTN19/KWT483A3.docx</v>
      </c>
      <c r="S851" t="str">
        <f>HYPERLINK("https://docs.wto.org/imrd/directdoc.asp?DDFDocuments/u/G/TBTN19/KWT483A3.docx", "https://docs.wto.org/imrd/directdoc.asp?DDFDocuments/u/G/TBTN19/KWT483A3.docx")</f>
        <v>https://docs.wto.org/imrd/directdoc.asp?DDFDocuments/u/G/TBTN19/KWT483A3.docx</v>
      </c>
      <c r="T851" t="str">
        <f>HYPERLINK("https://docs.wto.org/imrd/directdoc.asp?DDFDocuments/v/G/TBTN19/KWT483A3.docx", "https://docs.wto.org/imrd/directdoc.asp?DDFDocuments/v/G/TBTN19/KWT483A3.docx")</f>
        <v>https://docs.wto.org/imrd/directdoc.asp?DDFDocuments/v/G/TBTN19/KWT483A3.docx</v>
      </c>
      <c r="U851" t="s">
        <v>64</v>
      </c>
      <c r="V851" t="s">
        <v>46</v>
      </c>
      <c r="W851" t="s">
        <v>46</v>
      </c>
      <c r="X851" t="s">
        <v>46</v>
      </c>
      <c r="Y851" t="s">
        <v>46</v>
      </c>
      <c r="Z851" t="s">
        <v>46</v>
      </c>
      <c r="AA851" t="s">
        <v>46</v>
      </c>
      <c r="AB851" s="2" t="s">
        <v>43</v>
      </c>
      <c r="AC851" t="s">
        <v>43</v>
      </c>
      <c r="AD851" t="s">
        <v>43</v>
      </c>
      <c r="AE851" t="s">
        <v>43</v>
      </c>
      <c r="AF851" t="s">
        <v>43</v>
      </c>
      <c r="AG851" t="s">
        <v>43</v>
      </c>
      <c r="AH851" s="2" t="s">
        <v>43</v>
      </c>
    </row>
    <row r="852" spans="1:34" ht="390">
      <c r="A852" s="6" t="s">
        <v>132</v>
      </c>
      <c r="B852" s="7">
        <v>46056</v>
      </c>
      <c r="C852" s="9" t="str">
        <f>HYPERLINK("https://eping.wto.org/en/Search?viewData= G/TBT/N/USA/2075/Add.1"," G/TBT/N/USA/2075/Add.1")</f>
        <v xml:space="preserve"> G/TBT/N/USA/2075/Add.1</v>
      </c>
      <c r="D852" s="8" t="s">
        <v>3392</v>
      </c>
      <c r="E852" s="8" t="s">
        <v>3393</v>
      </c>
      <c r="F852" s="8" t="s">
        <v>3394</v>
      </c>
      <c r="G852" s="8" t="s">
        <v>43</v>
      </c>
      <c r="H852" s="8" t="s">
        <v>3395</v>
      </c>
      <c r="I852" s="8" t="s">
        <v>1261</v>
      </c>
      <c r="J852" s="8" t="s">
        <v>43</v>
      </c>
      <c r="K852" s="8" t="s">
        <v>43</v>
      </c>
      <c r="L852" s="6"/>
      <c r="M852" s="7" t="s">
        <v>43</v>
      </c>
      <c r="N852" s="7"/>
      <c r="O852" s="7"/>
      <c r="P852" s="6" t="s">
        <v>44</v>
      </c>
      <c r="Q852" s="8" t="s">
        <v>3396</v>
      </c>
      <c r="R852" t="str">
        <f>HYPERLINK("https://docs.wto.org/imrd/directdoc.asp?DDFDocuments/t/G/TBTN23/USA2075A1.docx", "https://docs.wto.org/imrd/directdoc.asp?DDFDocuments/t/G/TBTN23/USA2075A1.docx")</f>
        <v>https://docs.wto.org/imrd/directdoc.asp?DDFDocuments/t/G/TBTN23/USA2075A1.docx</v>
      </c>
      <c r="S852" t="str">
        <f>HYPERLINK("https://docs.wto.org/imrd/directdoc.asp?DDFDocuments/u/G/TBTN23/USA2075A1.docx", "https://docs.wto.org/imrd/directdoc.asp?DDFDocuments/u/G/TBTN23/USA2075A1.docx")</f>
        <v>https://docs.wto.org/imrd/directdoc.asp?DDFDocuments/u/G/TBTN23/USA2075A1.docx</v>
      </c>
      <c r="T852" t="str">
        <f>HYPERLINK("https://docs.wto.org/imrd/directdoc.asp?DDFDocuments/v/G/TBTN23/USA2075A1.docx", "https://docs.wto.org/imrd/directdoc.asp?DDFDocuments/v/G/TBTN23/USA2075A1.docx")</f>
        <v>https://docs.wto.org/imrd/directdoc.asp?DDFDocuments/v/G/TBTN23/USA2075A1.docx</v>
      </c>
      <c r="U852" t="s">
        <v>64</v>
      </c>
      <c r="V852" t="s">
        <v>46</v>
      </c>
      <c r="W852" t="s">
        <v>46</v>
      </c>
      <c r="X852" t="s">
        <v>46</v>
      </c>
      <c r="Y852" t="s">
        <v>46</v>
      </c>
      <c r="Z852" t="s">
        <v>46</v>
      </c>
      <c r="AA852" t="s">
        <v>46</v>
      </c>
      <c r="AB852" s="2" t="s">
        <v>43</v>
      </c>
      <c r="AC852" t="s">
        <v>43</v>
      </c>
      <c r="AD852" t="s">
        <v>43</v>
      </c>
      <c r="AE852" t="s">
        <v>43</v>
      </c>
      <c r="AF852" t="s">
        <v>43</v>
      </c>
      <c r="AG852" t="s">
        <v>43</v>
      </c>
      <c r="AH852" s="2" t="s">
        <v>43</v>
      </c>
    </row>
    <row r="853" spans="1:34" ht="30">
      <c r="A853" s="6" t="s">
        <v>289</v>
      </c>
      <c r="B853" s="7">
        <v>46055</v>
      </c>
      <c r="C853" s="9" t="str">
        <f>HYPERLINK("https://eping.wto.org/en/Search?viewData= G/SPS/N/BRA/2468"," G/SPS/N/BRA/2468")</f>
        <v xml:space="preserve"> G/SPS/N/BRA/2468</v>
      </c>
      <c r="D853" s="8" t="s">
        <v>3397</v>
      </c>
      <c r="E853" s="8" t="s">
        <v>3398</v>
      </c>
      <c r="F853" s="8" t="s">
        <v>3399</v>
      </c>
      <c r="G853" s="8" t="s">
        <v>43</v>
      </c>
      <c r="H853" s="8" t="s">
        <v>43</v>
      </c>
      <c r="I853" s="8" t="s">
        <v>94</v>
      </c>
      <c r="J853" s="8" t="s">
        <v>43</v>
      </c>
      <c r="K853" s="8" t="s">
        <v>3400</v>
      </c>
      <c r="L853" s="6" t="s">
        <v>1301</v>
      </c>
      <c r="M853" s="7">
        <v>46115</v>
      </c>
      <c r="N853" s="7" t="s">
        <v>304</v>
      </c>
      <c r="O853" s="7" t="s">
        <v>304</v>
      </c>
      <c r="P853" s="6" t="s">
        <v>62</v>
      </c>
      <c r="Q853" s="8" t="s">
        <v>3401</v>
      </c>
      <c r="R853" t="str">
        <f>HYPERLINK("https://docs.wto.org/imrd/directdoc.asp?DDFDocuments/t/G/SPS/NBRA2468.docx", "https://docs.wto.org/imrd/directdoc.asp?DDFDocuments/t/G/SPS/NBRA2468.docx")</f>
        <v>https://docs.wto.org/imrd/directdoc.asp?DDFDocuments/t/G/SPS/NBRA2468.docx</v>
      </c>
      <c r="S853" t="str">
        <f>HYPERLINK("https://docs.wto.org/imrd/directdoc.asp?DDFDocuments/u/G/SPS/NBRA2468.docx", "https://docs.wto.org/imrd/directdoc.asp?DDFDocuments/u/G/SPS/NBRA2468.docx")</f>
        <v>https://docs.wto.org/imrd/directdoc.asp?DDFDocuments/u/G/SPS/NBRA2468.docx</v>
      </c>
      <c r="T853" t="str">
        <f>HYPERLINK("https://docs.wto.org/imrd/directdoc.asp?DDFDocuments/v/G/SPS/NBRA2468.docx", "https://docs.wto.org/imrd/directdoc.asp?DDFDocuments/v/G/SPS/NBRA2468.docx")</f>
        <v>https://docs.wto.org/imrd/directdoc.asp?DDFDocuments/v/G/SPS/NBRA2468.docx</v>
      </c>
      <c r="U853" t="s">
        <v>43</v>
      </c>
      <c r="V853" t="s">
        <v>43</v>
      </c>
      <c r="W853" t="s">
        <v>43</v>
      </c>
      <c r="X853" t="s">
        <v>43</v>
      </c>
      <c r="Y853" t="s">
        <v>43</v>
      </c>
      <c r="Z853" t="s">
        <v>43</v>
      </c>
      <c r="AA853" t="s">
        <v>43</v>
      </c>
      <c r="AB853" s="2" t="s">
        <v>43</v>
      </c>
      <c r="AC853" t="s">
        <v>46</v>
      </c>
      <c r="AD853" t="s">
        <v>46</v>
      </c>
      <c r="AE853" t="s">
        <v>64</v>
      </c>
      <c r="AF853" t="s">
        <v>46</v>
      </c>
      <c r="AG853" t="s">
        <v>64</v>
      </c>
      <c r="AH853" s="2" t="s">
        <v>43</v>
      </c>
    </row>
    <row r="854" spans="1:34" ht="30">
      <c r="A854" s="6" t="s">
        <v>289</v>
      </c>
      <c r="B854" s="7">
        <v>46055</v>
      </c>
      <c r="C854" s="9" t="str">
        <f>HYPERLINK("https://eping.wto.org/en/Search?viewData= G/SPS/N/BRA/2469"," G/SPS/N/BRA/2469")</f>
        <v xml:space="preserve"> G/SPS/N/BRA/2469</v>
      </c>
      <c r="D854" s="8" t="s">
        <v>3402</v>
      </c>
      <c r="E854" s="8" t="s">
        <v>3403</v>
      </c>
      <c r="F854" s="8" t="s">
        <v>3399</v>
      </c>
      <c r="G854" s="8" t="s">
        <v>43</v>
      </c>
      <c r="H854" s="8" t="s">
        <v>43</v>
      </c>
      <c r="I854" s="8" t="s">
        <v>94</v>
      </c>
      <c r="J854" s="8" t="s">
        <v>43</v>
      </c>
      <c r="K854" s="8" t="s">
        <v>3400</v>
      </c>
      <c r="L854" s="6" t="s">
        <v>196</v>
      </c>
      <c r="M854" s="7">
        <v>46115</v>
      </c>
      <c r="N854" s="7" t="s">
        <v>304</v>
      </c>
      <c r="O854" s="7" t="s">
        <v>304</v>
      </c>
      <c r="P854" s="6" t="s">
        <v>62</v>
      </c>
      <c r="Q854" s="8" t="s">
        <v>3404</v>
      </c>
      <c r="R854" t="str">
        <f>HYPERLINK("https://docs.wto.org/imrd/directdoc.asp?DDFDocuments/t/G/SPS/NBRA2469.docx", "https://docs.wto.org/imrd/directdoc.asp?DDFDocuments/t/G/SPS/NBRA2469.docx")</f>
        <v>https://docs.wto.org/imrd/directdoc.asp?DDFDocuments/t/G/SPS/NBRA2469.docx</v>
      </c>
      <c r="S854" t="str">
        <f>HYPERLINK("https://docs.wto.org/imrd/directdoc.asp?DDFDocuments/u/G/SPS/NBRA2469.docx", "https://docs.wto.org/imrd/directdoc.asp?DDFDocuments/u/G/SPS/NBRA2469.docx")</f>
        <v>https://docs.wto.org/imrd/directdoc.asp?DDFDocuments/u/G/SPS/NBRA2469.docx</v>
      </c>
      <c r="T854" t="str">
        <f>HYPERLINK("https://docs.wto.org/imrd/directdoc.asp?DDFDocuments/v/G/SPS/NBRA2469.docx", "https://docs.wto.org/imrd/directdoc.asp?DDFDocuments/v/G/SPS/NBRA2469.docx")</f>
        <v>https://docs.wto.org/imrd/directdoc.asp?DDFDocuments/v/G/SPS/NBRA2469.docx</v>
      </c>
      <c r="U854" t="s">
        <v>43</v>
      </c>
      <c r="V854" t="s">
        <v>43</v>
      </c>
      <c r="W854" t="s">
        <v>43</v>
      </c>
      <c r="X854" t="s">
        <v>43</v>
      </c>
      <c r="Y854" t="s">
        <v>43</v>
      </c>
      <c r="Z854" t="s">
        <v>43</v>
      </c>
      <c r="AA854" t="s">
        <v>43</v>
      </c>
      <c r="AB854" s="2" t="s">
        <v>43</v>
      </c>
      <c r="AC854" t="s">
        <v>46</v>
      </c>
      <c r="AD854" t="s">
        <v>46</v>
      </c>
      <c r="AE854" t="s">
        <v>64</v>
      </c>
      <c r="AF854" t="s">
        <v>46</v>
      </c>
      <c r="AG854" t="s">
        <v>64</v>
      </c>
      <c r="AH854" s="2" t="s">
        <v>43</v>
      </c>
    </row>
    <row r="855" spans="1:34" ht="60">
      <c r="A855" s="6" t="s">
        <v>325</v>
      </c>
      <c r="B855" s="7">
        <v>46055</v>
      </c>
      <c r="C855" s="9" t="str">
        <f>HYPERLINK("https://eping.wto.org/en/Search?viewData= G/TBT/N/TPKM/570/Add.1"," G/TBT/N/TPKM/570/Add.1")</f>
        <v xml:space="preserve"> G/TBT/N/TPKM/570/Add.1</v>
      </c>
      <c r="D855" s="8" t="s">
        <v>3405</v>
      </c>
      <c r="E855" s="8" t="s">
        <v>3406</v>
      </c>
      <c r="F855" s="8" t="s">
        <v>3407</v>
      </c>
      <c r="G855" s="8" t="s">
        <v>3408</v>
      </c>
      <c r="H855" s="8" t="s">
        <v>3409</v>
      </c>
      <c r="I855" s="8" t="s">
        <v>1246</v>
      </c>
      <c r="J855" s="8" t="s">
        <v>43</v>
      </c>
      <c r="K855" s="8" t="s">
        <v>42</v>
      </c>
      <c r="L855" s="6"/>
      <c r="M855" s="7" t="s">
        <v>43</v>
      </c>
      <c r="N855" s="7"/>
      <c r="O855" s="7"/>
      <c r="P855" s="6" t="s">
        <v>44</v>
      </c>
      <c r="Q855" s="8" t="s">
        <v>3410</v>
      </c>
      <c r="R855" t="str">
        <f>HYPERLINK("https://docs.wto.org/imrd/directdoc.asp?DDFDocuments/t/G/TBTN25/TPKM570A1.docx", "https://docs.wto.org/imrd/directdoc.asp?DDFDocuments/t/G/TBTN25/TPKM570A1.docx")</f>
        <v>https://docs.wto.org/imrd/directdoc.asp?DDFDocuments/t/G/TBTN25/TPKM570A1.docx</v>
      </c>
      <c r="S855" t="str">
        <f>HYPERLINK("https://docs.wto.org/imrd/directdoc.asp?DDFDocuments/u/G/TBTN25/TPKM570A1.docx", "https://docs.wto.org/imrd/directdoc.asp?DDFDocuments/u/G/TBTN25/TPKM570A1.docx")</f>
        <v>https://docs.wto.org/imrd/directdoc.asp?DDFDocuments/u/G/TBTN25/TPKM570A1.docx</v>
      </c>
      <c r="T855" t="str">
        <f>HYPERLINK("https://docs.wto.org/imrd/directdoc.asp?DDFDocuments/v/G/TBTN25/TPKM570A1.docx", "https://docs.wto.org/imrd/directdoc.asp?DDFDocuments/v/G/TBTN25/TPKM570A1.docx")</f>
        <v>https://docs.wto.org/imrd/directdoc.asp?DDFDocuments/v/G/TBTN25/TPKM570A1.docx</v>
      </c>
      <c r="U855" t="s">
        <v>46</v>
      </c>
      <c r="V855" t="s">
        <v>46</v>
      </c>
      <c r="W855" t="s">
        <v>46</v>
      </c>
      <c r="X855" t="s">
        <v>46</v>
      </c>
      <c r="Y855" t="s">
        <v>46</v>
      </c>
      <c r="Z855" t="s">
        <v>46</v>
      </c>
      <c r="AA855" t="s">
        <v>46</v>
      </c>
      <c r="AB855" s="2" t="s">
        <v>43</v>
      </c>
      <c r="AC855" t="s">
        <v>43</v>
      </c>
      <c r="AD855" t="s">
        <v>43</v>
      </c>
      <c r="AE855" t="s">
        <v>43</v>
      </c>
      <c r="AF855" t="s">
        <v>43</v>
      </c>
      <c r="AG855" t="s">
        <v>43</v>
      </c>
      <c r="AH855" s="2" t="s">
        <v>43</v>
      </c>
    </row>
    <row r="856" spans="1:34" ht="195">
      <c r="A856" s="6" t="s">
        <v>158</v>
      </c>
      <c r="B856" s="7">
        <v>46055</v>
      </c>
      <c r="C856" s="9" t="str">
        <f>HYPERLINK("https://eping.wto.org/en/Search?viewData= G/TBT/N/UKR/318/Rev.1"," G/TBT/N/UKR/318/Rev.1")</f>
        <v xml:space="preserve"> G/TBT/N/UKR/318/Rev.1</v>
      </c>
      <c r="D856" s="8" t="s">
        <v>3411</v>
      </c>
      <c r="E856" s="8" t="s">
        <v>3412</v>
      </c>
      <c r="F856" s="8" t="s">
        <v>3413</v>
      </c>
      <c r="G856" s="8" t="s">
        <v>1426</v>
      </c>
      <c r="H856" s="8" t="s">
        <v>1427</v>
      </c>
      <c r="I856" s="8" t="s">
        <v>3414</v>
      </c>
      <c r="J856" s="8" t="s">
        <v>43</v>
      </c>
      <c r="K856" s="8" t="s">
        <v>350</v>
      </c>
      <c r="L856" s="6"/>
      <c r="M856" s="7">
        <v>46115</v>
      </c>
      <c r="N856" s="7" t="s">
        <v>79</v>
      </c>
      <c r="O856" s="7" t="s">
        <v>3415</v>
      </c>
      <c r="P856" s="6" t="s">
        <v>138</v>
      </c>
      <c r="Q856" s="8" t="s">
        <v>3416</v>
      </c>
      <c r="R856" t="str">
        <f>HYPERLINK("https://docs.wto.org/imrd/directdoc.asp?DDFDocuments/t/G/TBTN24/UKR318R1.docx", "https://docs.wto.org/imrd/directdoc.asp?DDFDocuments/t/G/TBTN24/UKR318R1.docx")</f>
        <v>https://docs.wto.org/imrd/directdoc.asp?DDFDocuments/t/G/TBTN24/UKR318R1.docx</v>
      </c>
      <c r="S856" t="str">
        <f>HYPERLINK("https://docs.wto.org/imrd/directdoc.asp?DDFDocuments/u/G/TBTN24/UKR318R1.docx", "https://docs.wto.org/imrd/directdoc.asp?DDFDocuments/u/G/TBTN24/UKR318R1.docx")</f>
        <v>https://docs.wto.org/imrd/directdoc.asp?DDFDocuments/u/G/TBTN24/UKR318R1.docx</v>
      </c>
      <c r="T856" t="str">
        <f>HYPERLINK("https://docs.wto.org/imrd/directdoc.asp?DDFDocuments/v/G/TBTN24/UKR318R1.docx", "https://docs.wto.org/imrd/directdoc.asp?DDFDocuments/v/G/TBTN24/UKR318R1.docx")</f>
        <v>https://docs.wto.org/imrd/directdoc.asp?DDFDocuments/v/G/TBTN24/UKR318R1.docx</v>
      </c>
      <c r="U856" t="s">
        <v>64</v>
      </c>
      <c r="V856" t="s">
        <v>46</v>
      </c>
      <c r="W856" t="s">
        <v>64</v>
      </c>
      <c r="X856" t="s">
        <v>46</v>
      </c>
      <c r="Y856" t="s">
        <v>46</v>
      </c>
      <c r="Z856" t="s">
        <v>46</v>
      </c>
      <c r="AA856" t="s">
        <v>46</v>
      </c>
      <c r="AB856" s="2" t="s">
        <v>3417</v>
      </c>
      <c r="AC856" t="s">
        <v>43</v>
      </c>
      <c r="AD856" t="s">
        <v>43</v>
      </c>
      <c r="AE856" t="s">
        <v>43</v>
      </c>
      <c r="AF856" t="s">
        <v>43</v>
      </c>
      <c r="AG856" t="s">
        <v>43</v>
      </c>
      <c r="AH856" s="2" t="s">
        <v>43</v>
      </c>
    </row>
    <row r="857" spans="1:34" ht="405">
      <c r="A857" s="6" t="s">
        <v>132</v>
      </c>
      <c r="B857" s="7">
        <v>46055</v>
      </c>
      <c r="C857" s="9" t="str">
        <f>HYPERLINK("https://eping.wto.org/en/Search?viewData= G/TBT/N/USA/1323/Add.7"," G/TBT/N/USA/1323/Add.7")</f>
        <v xml:space="preserve"> G/TBT/N/USA/1323/Add.7</v>
      </c>
      <c r="D857" s="8" t="s">
        <v>3418</v>
      </c>
      <c r="E857" s="8" t="s">
        <v>3419</v>
      </c>
      <c r="F857" s="8" t="s">
        <v>3420</v>
      </c>
      <c r="G857" s="8" t="s">
        <v>43</v>
      </c>
      <c r="H857" s="8" t="s">
        <v>3421</v>
      </c>
      <c r="I857" s="8" t="s">
        <v>275</v>
      </c>
      <c r="J857" s="8" t="s">
        <v>43</v>
      </c>
      <c r="K857" s="8" t="s">
        <v>43</v>
      </c>
      <c r="L857" s="6"/>
      <c r="M857" s="7" t="s">
        <v>43</v>
      </c>
      <c r="N857" s="7"/>
      <c r="O857" s="7"/>
      <c r="P857" s="6" t="s">
        <v>44</v>
      </c>
      <c r="Q857" s="8" t="s">
        <v>3422</v>
      </c>
      <c r="R857" t="str">
        <f>HYPERLINK("https://docs.wto.org/imrd/directdoc.asp?DDFDocuments/t/G/TBTN17/USA1323A7.docx", "https://docs.wto.org/imrd/directdoc.asp?DDFDocuments/t/G/TBTN17/USA1323A7.docx")</f>
        <v>https://docs.wto.org/imrd/directdoc.asp?DDFDocuments/t/G/TBTN17/USA1323A7.docx</v>
      </c>
      <c r="S857" t="str">
        <f>HYPERLINK("https://docs.wto.org/imrd/directdoc.asp?DDFDocuments/u/G/TBTN17/USA1323A7.docx", "https://docs.wto.org/imrd/directdoc.asp?DDFDocuments/u/G/TBTN17/USA1323A7.docx")</f>
        <v>https://docs.wto.org/imrd/directdoc.asp?DDFDocuments/u/G/TBTN17/USA1323A7.docx</v>
      </c>
      <c r="T857" t="str">
        <f>HYPERLINK("https://docs.wto.org/imrd/directdoc.asp?DDFDocuments/v/G/TBTN17/USA1323A7.docx", "https://docs.wto.org/imrd/directdoc.asp?DDFDocuments/v/G/TBTN17/USA1323A7.docx")</f>
        <v>https://docs.wto.org/imrd/directdoc.asp?DDFDocuments/v/G/TBTN17/USA1323A7.docx</v>
      </c>
      <c r="U857" t="s">
        <v>64</v>
      </c>
      <c r="V857" t="s">
        <v>46</v>
      </c>
      <c r="W857" t="s">
        <v>46</v>
      </c>
      <c r="X857" t="s">
        <v>46</v>
      </c>
      <c r="Y857" t="s">
        <v>46</v>
      </c>
      <c r="Z857" t="s">
        <v>46</v>
      </c>
      <c r="AA857" t="s">
        <v>46</v>
      </c>
      <c r="AB857" s="2" t="s">
        <v>43</v>
      </c>
      <c r="AC857" t="s">
        <v>43</v>
      </c>
      <c r="AD857" t="s">
        <v>43</v>
      </c>
      <c r="AE857" t="s">
        <v>43</v>
      </c>
      <c r="AF857" t="s">
        <v>43</v>
      </c>
      <c r="AG857" t="s">
        <v>43</v>
      </c>
      <c r="AH857" s="2" t="s">
        <v>43</v>
      </c>
    </row>
    <row r="858" spans="1:34" ht="165">
      <c r="A858" s="6" t="s">
        <v>82</v>
      </c>
      <c r="B858" s="7">
        <v>46055</v>
      </c>
      <c r="C858" s="9" t="str">
        <f>HYPERLINK("https://eping.wto.org/en/Search?viewData= G/SPS/N/JPN/1355/Add.1"," G/SPS/N/JPN/1355/Add.1")</f>
        <v xml:space="preserve"> G/SPS/N/JPN/1355/Add.1</v>
      </c>
      <c r="D858" s="8" t="s">
        <v>3423</v>
      </c>
      <c r="E858" s="8" t="s">
        <v>3424</v>
      </c>
      <c r="F858" s="8" t="s">
        <v>3425</v>
      </c>
      <c r="G858" s="8" t="s">
        <v>3426</v>
      </c>
      <c r="H858" s="8" t="s">
        <v>43</v>
      </c>
      <c r="I858" s="8" t="s">
        <v>58</v>
      </c>
      <c r="J858" s="8" t="s">
        <v>43</v>
      </c>
      <c r="K858" s="8" t="s">
        <v>3427</v>
      </c>
      <c r="L858" s="6"/>
      <c r="M858" s="7" t="s">
        <v>43</v>
      </c>
      <c r="N858" s="7"/>
      <c r="O858" s="7"/>
      <c r="P858" s="6" t="s">
        <v>44</v>
      </c>
      <c r="Q858" s="8" t="s">
        <v>3428</v>
      </c>
      <c r="R858" t="str">
        <f>HYPERLINK("https://docs.wto.org/imrd/directdoc.asp?DDFDocuments/t/G/SPS/NJPN1355A1.docx", "https://docs.wto.org/imrd/directdoc.asp?DDFDocuments/t/G/SPS/NJPN1355A1.docx")</f>
        <v>https://docs.wto.org/imrd/directdoc.asp?DDFDocuments/t/G/SPS/NJPN1355A1.docx</v>
      </c>
      <c r="S858" t="str">
        <f>HYPERLINK("https://docs.wto.org/imrd/directdoc.asp?DDFDocuments/u/G/SPS/NJPN1355A1.docx", "https://docs.wto.org/imrd/directdoc.asp?DDFDocuments/u/G/SPS/NJPN1355A1.docx")</f>
        <v>https://docs.wto.org/imrd/directdoc.asp?DDFDocuments/u/G/SPS/NJPN1355A1.docx</v>
      </c>
      <c r="T858" t="str">
        <f>HYPERLINK("https://docs.wto.org/imrd/directdoc.asp?DDFDocuments/v/G/SPS/NJPN1355A1.docx", "https://docs.wto.org/imrd/directdoc.asp?DDFDocuments/v/G/SPS/NJPN1355A1.docx")</f>
        <v>https://docs.wto.org/imrd/directdoc.asp?DDFDocuments/v/G/SPS/NJPN1355A1.docx</v>
      </c>
      <c r="U858" t="s">
        <v>43</v>
      </c>
      <c r="V858" t="s">
        <v>43</v>
      </c>
      <c r="W858" t="s">
        <v>43</v>
      </c>
      <c r="X858" t="s">
        <v>43</v>
      </c>
      <c r="Y858" t="s">
        <v>43</v>
      </c>
      <c r="Z858" t="s">
        <v>43</v>
      </c>
      <c r="AA858" t="s">
        <v>43</v>
      </c>
      <c r="AB858" s="2" t="s">
        <v>43</v>
      </c>
      <c r="AC858" t="s">
        <v>43</v>
      </c>
      <c r="AD858" t="s">
        <v>43</v>
      </c>
      <c r="AE858" t="s">
        <v>43</v>
      </c>
      <c r="AF858" t="s">
        <v>43</v>
      </c>
      <c r="AG858" t="s">
        <v>43</v>
      </c>
      <c r="AH858" s="2" t="s">
        <v>43</v>
      </c>
    </row>
    <row r="859" spans="1:34" ht="45">
      <c r="A859" s="6" t="s">
        <v>862</v>
      </c>
      <c r="B859" s="7">
        <v>46055</v>
      </c>
      <c r="C859" s="9" t="str">
        <f>HYPERLINK("https://eping.wto.org/en/Search?viewData= G/TBT/N/CHE/302"," G/TBT/N/CHE/302")</f>
        <v xml:space="preserve"> G/TBT/N/CHE/302</v>
      </c>
      <c r="D859" s="8" t="s">
        <v>3429</v>
      </c>
      <c r="E859" s="8" t="s">
        <v>3430</v>
      </c>
      <c r="F859" s="8" t="s">
        <v>3431</v>
      </c>
      <c r="G859" s="8" t="s">
        <v>43</v>
      </c>
      <c r="H859" s="8" t="s">
        <v>43</v>
      </c>
      <c r="I859" s="8" t="s">
        <v>3432</v>
      </c>
      <c r="J859" s="8" t="s">
        <v>3433</v>
      </c>
      <c r="K859" s="8" t="s">
        <v>3434</v>
      </c>
      <c r="L859" s="6"/>
      <c r="M859" s="7">
        <v>46115</v>
      </c>
      <c r="N859" s="7" t="s">
        <v>3435</v>
      </c>
      <c r="O859" s="7">
        <v>46388</v>
      </c>
      <c r="P859" s="6" t="s">
        <v>62</v>
      </c>
      <c r="Q859" s="8" t="s">
        <v>3436</v>
      </c>
      <c r="R859" t="str">
        <f>HYPERLINK("https://docs.wto.org/imrd/directdoc.asp?DDFDocuments/t/G/TBTN26/CHE302.docx", "https://docs.wto.org/imrd/directdoc.asp?DDFDocuments/t/G/TBTN26/CHE302.docx")</f>
        <v>https://docs.wto.org/imrd/directdoc.asp?DDFDocuments/t/G/TBTN26/CHE302.docx</v>
      </c>
      <c r="S859" t="str">
        <f>HYPERLINK("https://docs.wto.org/imrd/directdoc.asp?DDFDocuments/u/G/TBTN26/CHE302.docx", "https://docs.wto.org/imrd/directdoc.asp?DDFDocuments/u/G/TBTN26/CHE302.docx")</f>
        <v>https://docs.wto.org/imrd/directdoc.asp?DDFDocuments/u/G/TBTN26/CHE302.docx</v>
      </c>
      <c r="T859" t="str">
        <f>HYPERLINK("https://docs.wto.org/imrd/directdoc.asp?DDFDocuments/v/G/TBTN26/CHE302.docx", "https://docs.wto.org/imrd/directdoc.asp?DDFDocuments/v/G/TBTN26/CHE302.docx")</f>
        <v>https://docs.wto.org/imrd/directdoc.asp?DDFDocuments/v/G/TBTN26/CHE302.docx</v>
      </c>
      <c r="U859" t="s">
        <v>64</v>
      </c>
      <c r="V859" t="s">
        <v>46</v>
      </c>
      <c r="W859" t="s">
        <v>46</v>
      </c>
      <c r="X859" t="s">
        <v>46</v>
      </c>
      <c r="Y859" t="s">
        <v>46</v>
      </c>
      <c r="Z859" t="s">
        <v>46</v>
      </c>
      <c r="AA859" t="s">
        <v>46</v>
      </c>
      <c r="AB859" s="2" t="s">
        <v>3437</v>
      </c>
      <c r="AC859" t="s">
        <v>43</v>
      </c>
      <c r="AD859" t="s">
        <v>43</v>
      </c>
      <c r="AE859" t="s">
        <v>43</v>
      </c>
      <c r="AF859" t="s">
        <v>43</v>
      </c>
      <c r="AG859" t="s">
        <v>43</v>
      </c>
      <c r="AH859" s="2" t="s">
        <v>43</v>
      </c>
    </row>
    <row r="860" spans="1:34" ht="255">
      <c r="A860" s="6" t="s">
        <v>158</v>
      </c>
      <c r="B860" s="7">
        <v>46055</v>
      </c>
      <c r="C860" s="9" t="str">
        <f>HYPERLINK("https://eping.wto.org/en/Search?viewData= G/SPS/N/UKR/257"," G/SPS/N/UKR/257")</f>
        <v xml:space="preserve"> G/SPS/N/UKR/257</v>
      </c>
      <c r="D860" s="8" t="s">
        <v>3438</v>
      </c>
      <c r="E860" s="8" t="s">
        <v>3439</v>
      </c>
      <c r="F860" s="8" t="s">
        <v>3440</v>
      </c>
      <c r="G860" s="8" t="s">
        <v>43</v>
      </c>
      <c r="H860" s="8" t="s">
        <v>43</v>
      </c>
      <c r="I860" s="8" t="s">
        <v>361</v>
      </c>
      <c r="J860" s="8" t="s">
        <v>43</v>
      </c>
      <c r="K860" s="8" t="s">
        <v>749</v>
      </c>
      <c r="L860" s="6" t="s">
        <v>43</v>
      </c>
      <c r="M860" s="7">
        <v>46115</v>
      </c>
      <c r="N860" s="7">
        <v>46007</v>
      </c>
      <c r="O860" s="7">
        <v>46083</v>
      </c>
      <c r="P860" s="6" t="s">
        <v>62</v>
      </c>
      <c r="Q860" s="8" t="s">
        <v>3441</v>
      </c>
      <c r="R860" t="str">
        <f>HYPERLINK("https://docs.wto.org/imrd/directdoc.asp?DDFDocuments/t/G/SPS/NUKR257.docx", "https://docs.wto.org/imrd/directdoc.asp?DDFDocuments/t/G/SPS/NUKR257.docx")</f>
        <v>https://docs.wto.org/imrd/directdoc.asp?DDFDocuments/t/G/SPS/NUKR257.docx</v>
      </c>
      <c r="S860" t="str">
        <f>HYPERLINK("https://docs.wto.org/imrd/directdoc.asp?DDFDocuments/u/G/SPS/NUKR257.docx", "https://docs.wto.org/imrd/directdoc.asp?DDFDocuments/u/G/SPS/NUKR257.docx")</f>
        <v>https://docs.wto.org/imrd/directdoc.asp?DDFDocuments/u/G/SPS/NUKR257.docx</v>
      </c>
      <c r="T860" t="str">
        <f>HYPERLINK("https://docs.wto.org/imrd/directdoc.asp?DDFDocuments/v/G/SPS/NUKR257.docx", "https://docs.wto.org/imrd/directdoc.asp?DDFDocuments/v/G/SPS/NUKR257.docx")</f>
        <v>https://docs.wto.org/imrd/directdoc.asp?DDFDocuments/v/G/SPS/NUKR257.docx</v>
      </c>
      <c r="U860" t="s">
        <v>43</v>
      </c>
      <c r="V860" t="s">
        <v>43</v>
      </c>
      <c r="W860" t="s">
        <v>43</v>
      </c>
      <c r="X860" t="s">
        <v>43</v>
      </c>
      <c r="Y860" t="s">
        <v>43</v>
      </c>
      <c r="Z860" t="s">
        <v>43</v>
      </c>
      <c r="AA860" t="s">
        <v>43</v>
      </c>
      <c r="AB860" s="2" t="s">
        <v>43</v>
      </c>
      <c r="AC860" t="s">
        <v>46</v>
      </c>
      <c r="AD860" t="s">
        <v>46</v>
      </c>
      <c r="AE860" t="s">
        <v>46</v>
      </c>
      <c r="AF860" t="s">
        <v>64</v>
      </c>
      <c r="AG860" t="s">
        <v>99</v>
      </c>
      <c r="AH860" s="2" t="s">
        <v>43</v>
      </c>
    </row>
    <row r="861" spans="1:34" ht="409.5">
      <c r="A861" s="6" t="s">
        <v>146</v>
      </c>
      <c r="B861" s="7">
        <v>46055</v>
      </c>
      <c r="C861" s="9" t="str">
        <f>HYPERLINK("https://eping.wto.org/en/Search?viewData= G/TBT/N/CHL/782"," G/TBT/N/CHL/782")</f>
        <v xml:space="preserve"> G/TBT/N/CHL/782</v>
      </c>
      <c r="D861" s="8" t="s">
        <v>3442</v>
      </c>
      <c r="E861" s="8" t="s">
        <v>3443</v>
      </c>
      <c r="F861" s="8" t="s">
        <v>3444</v>
      </c>
      <c r="G861" s="8" t="s">
        <v>43</v>
      </c>
      <c r="H861" s="8" t="s">
        <v>43</v>
      </c>
      <c r="I861" s="8" t="s">
        <v>129</v>
      </c>
      <c r="J861" s="8" t="s">
        <v>43</v>
      </c>
      <c r="K861" s="8" t="s">
        <v>43</v>
      </c>
      <c r="L861" s="6"/>
      <c r="M861" s="7">
        <v>46115</v>
      </c>
      <c r="N861" s="7" t="s">
        <v>877</v>
      </c>
      <c r="O861" s="7" t="s">
        <v>877</v>
      </c>
      <c r="P861" s="6" t="s">
        <v>62</v>
      </c>
      <c r="Q861" s="6"/>
      <c r="R861" t="str">
        <f>HYPERLINK("https://docs.wto.org/imrd/directdoc.asp?DDFDocuments/t/G/TBTN26/CHL782.docx", "https://docs.wto.org/imrd/directdoc.asp?DDFDocuments/t/G/TBTN26/CHL782.docx")</f>
        <v>https://docs.wto.org/imrd/directdoc.asp?DDFDocuments/t/G/TBTN26/CHL782.docx</v>
      </c>
      <c r="S861" t="str">
        <f>HYPERLINK("https://docs.wto.org/imrd/directdoc.asp?DDFDocuments/u/G/TBTN26/CHL782.docx", "https://docs.wto.org/imrd/directdoc.asp?DDFDocuments/u/G/TBTN26/CHL782.docx")</f>
        <v>https://docs.wto.org/imrd/directdoc.asp?DDFDocuments/u/G/TBTN26/CHL782.docx</v>
      </c>
      <c r="T861" t="str">
        <f>HYPERLINK("https://docs.wto.org/imrd/directdoc.asp?DDFDocuments/v/G/TBTN26/CHL782.docx", "https://docs.wto.org/imrd/directdoc.asp?DDFDocuments/v/G/TBTN26/CHL782.docx")</f>
        <v>https://docs.wto.org/imrd/directdoc.asp?DDFDocuments/v/G/TBTN26/CHL782.docx</v>
      </c>
      <c r="U861" t="s">
        <v>64</v>
      </c>
      <c r="V861" t="s">
        <v>46</v>
      </c>
      <c r="W861" t="s">
        <v>46</v>
      </c>
      <c r="X861" t="s">
        <v>46</v>
      </c>
      <c r="Y861" t="s">
        <v>46</v>
      </c>
      <c r="Z861" t="s">
        <v>46</v>
      </c>
      <c r="AA861" t="s">
        <v>46</v>
      </c>
      <c r="AB861" s="2" t="s">
        <v>3445</v>
      </c>
      <c r="AC861" t="s">
        <v>43</v>
      </c>
      <c r="AD861" t="s">
        <v>43</v>
      </c>
      <c r="AE861" t="s">
        <v>43</v>
      </c>
      <c r="AF861" t="s">
        <v>43</v>
      </c>
      <c r="AG861" t="s">
        <v>43</v>
      </c>
      <c r="AH861" s="2" t="s">
        <v>43</v>
      </c>
    </row>
    <row r="862" spans="1:34" ht="195">
      <c r="A862" s="6" t="s">
        <v>146</v>
      </c>
      <c r="B862" s="7">
        <v>46055</v>
      </c>
      <c r="C862" s="9" t="str">
        <f>HYPERLINK("https://eping.wto.org/en/Search?viewData= G/TBT/N/CHL/783"," G/TBT/N/CHL/783")</f>
        <v xml:space="preserve"> G/TBT/N/CHL/783</v>
      </c>
      <c r="D862" s="8" t="s">
        <v>3446</v>
      </c>
      <c r="E862" s="8" t="s">
        <v>3447</v>
      </c>
      <c r="F862" s="8" t="s">
        <v>3444</v>
      </c>
      <c r="G862" s="8" t="s">
        <v>43</v>
      </c>
      <c r="H862" s="8" t="s">
        <v>43</v>
      </c>
      <c r="I862" s="8" t="s">
        <v>129</v>
      </c>
      <c r="J862" s="8" t="s">
        <v>43</v>
      </c>
      <c r="K862" s="8" t="s">
        <v>43</v>
      </c>
      <c r="L862" s="6"/>
      <c r="M862" s="7">
        <v>46115</v>
      </c>
      <c r="N862" s="7" t="s">
        <v>877</v>
      </c>
      <c r="O862" s="7" t="s">
        <v>877</v>
      </c>
      <c r="P862" s="6" t="s">
        <v>62</v>
      </c>
      <c r="Q862" s="6"/>
      <c r="R862" t="str">
        <f>HYPERLINK("https://docs.wto.org/imrd/directdoc.asp?DDFDocuments/t/G/TBTN26/CHL783.docx", "https://docs.wto.org/imrd/directdoc.asp?DDFDocuments/t/G/TBTN26/CHL783.docx")</f>
        <v>https://docs.wto.org/imrd/directdoc.asp?DDFDocuments/t/G/TBTN26/CHL783.docx</v>
      </c>
      <c r="S862" t="str">
        <f>HYPERLINK("https://docs.wto.org/imrd/directdoc.asp?DDFDocuments/u/G/TBTN26/CHL783.docx", "https://docs.wto.org/imrd/directdoc.asp?DDFDocuments/u/G/TBTN26/CHL783.docx")</f>
        <v>https://docs.wto.org/imrd/directdoc.asp?DDFDocuments/u/G/TBTN26/CHL783.docx</v>
      </c>
      <c r="T862" t="str">
        <f>HYPERLINK("https://docs.wto.org/imrd/directdoc.asp?DDFDocuments/v/G/TBTN26/CHL783.docx", "https://docs.wto.org/imrd/directdoc.asp?DDFDocuments/v/G/TBTN26/CHL783.docx")</f>
        <v>https://docs.wto.org/imrd/directdoc.asp?DDFDocuments/v/G/TBTN26/CHL783.docx</v>
      </c>
      <c r="U862" t="s">
        <v>46</v>
      </c>
      <c r="V862" t="s">
        <v>64</v>
      </c>
      <c r="W862" t="s">
        <v>46</v>
      </c>
      <c r="X862" t="s">
        <v>46</v>
      </c>
      <c r="Y862" t="s">
        <v>46</v>
      </c>
      <c r="Z862" t="s">
        <v>46</v>
      </c>
      <c r="AA862" t="s">
        <v>46</v>
      </c>
      <c r="AB862" s="2" t="s">
        <v>3448</v>
      </c>
      <c r="AC862" t="s">
        <v>43</v>
      </c>
      <c r="AD862" t="s">
        <v>43</v>
      </c>
      <c r="AE862" t="s">
        <v>43</v>
      </c>
      <c r="AF862" t="s">
        <v>43</v>
      </c>
      <c r="AG862" t="s">
        <v>43</v>
      </c>
      <c r="AH862" s="2" t="s">
        <v>43</v>
      </c>
    </row>
    <row r="863" spans="1:34" ht="60">
      <c r="A863" s="6" t="s">
        <v>82</v>
      </c>
      <c r="B863" s="7">
        <v>46055</v>
      </c>
      <c r="C863" s="9" t="str">
        <f>HYPERLINK("https://eping.wto.org/en/Search?viewData= G/TBT/N/JPN/878/Add.1"," G/TBT/N/JPN/878/Add.1")</f>
        <v xml:space="preserve"> G/TBT/N/JPN/878/Add.1</v>
      </c>
      <c r="D863" s="8" t="s">
        <v>3449</v>
      </c>
      <c r="E863" s="8" t="s">
        <v>3450</v>
      </c>
      <c r="F863" s="8" t="s">
        <v>3451</v>
      </c>
      <c r="G863" s="8" t="s">
        <v>43</v>
      </c>
      <c r="H863" s="8" t="s">
        <v>86</v>
      </c>
      <c r="I863" s="8" t="s">
        <v>52</v>
      </c>
      <c r="J863" s="8" t="s">
        <v>3452</v>
      </c>
      <c r="K863" s="8" t="s">
        <v>43</v>
      </c>
      <c r="L863" s="6"/>
      <c r="M863" s="7" t="s">
        <v>43</v>
      </c>
      <c r="N863" s="7"/>
      <c r="O863" s="7"/>
      <c r="P863" s="6" t="s">
        <v>44</v>
      </c>
      <c r="Q863" s="8" t="s">
        <v>3453</v>
      </c>
      <c r="R863" t="str">
        <f>HYPERLINK("https://docs.wto.org/imrd/directdoc.asp?DDFDocuments/t/G/TBTN25/JPN878A1.docx", "https://docs.wto.org/imrd/directdoc.asp?DDFDocuments/t/G/TBTN25/JPN878A1.docx")</f>
        <v>https://docs.wto.org/imrd/directdoc.asp?DDFDocuments/t/G/TBTN25/JPN878A1.docx</v>
      </c>
      <c r="S863" t="str">
        <f>HYPERLINK("https://docs.wto.org/imrd/directdoc.asp?DDFDocuments/u/G/TBTN25/JPN878A1.docx", "https://docs.wto.org/imrd/directdoc.asp?DDFDocuments/u/G/TBTN25/JPN878A1.docx")</f>
        <v>https://docs.wto.org/imrd/directdoc.asp?DDFDocuments/u/G/TBTN25/JPN878A1.docx</v>
      </c>
      <c r="T863" t="str">
        <f>HYPERLINK("https://docs.wto.org/imrd/directdoc.asp?DDFDocuments/v/G/TBTN25/JPN878A1.docx", "https://docs.wto.org/imrd/directdoc.asp?DDFDocuments/v/G/TBTN25/JPN878A1.docx")</f>
        <v>https://docs.wto.org/imrd/directdoc.asp?DDFDocuments/v/G/TBTN25/JPN878A1.docx</v>
      </c>
      <c r="U863" t="s">
        <v>46</v>
      </c>
      <c r="V863" t="s">
        <v>46</v>
      </c>
      <c r="W863" t="s">
        <v>46</v>
      </c>
      <c r="X863" t="s">
        <v>46</v>
      </c>
      <c r="Y863" t="s">
        <v>46</v>
      </c>
      <c r="Z863" t="s">
        <v>46</v>
      </c>
      <c r="AA863" t="s">
        <v>46</v>
      </c>
      <c r="AB863" s="2" t="s">
        <v>43</v>
      </c>
      <c r="AC863" t="s">
        <v>43</v>
      </c>
      <c r="AD863" t="s">
        <v>43</v>
      </c>
      <c r="AE863" t="s">
        <v>43</v>
      </c>
      <c r="AF863" t="s">
        <v>43</v>
      </c>
      <c r="AG863" t="s">
        <v>43</v>
      </c>
      <c r="AH863" s="2" t="s">
        <v>43</v>
      </c>
    </row>
    <row r="864" spans="1:34" ht="409.5">
      <c r="A864" s="6" t="s">
        <v>132</v>
      </c>
      <c r="B864" s="7">
        <v>46055</v>
      </c>
      <c r="C864" s="9" t="str">
        <f>HYPERLINK("https://eping.wto.org/en/Search?viewData= G/TBT/N/USA/2088/Rev.1/Add.1"," G/TBT/N/USA/2088/Rev.1/Add.1")</f>
        <v xml:space="preserve"> G/TBT/N/USA/2088/Rev.1/Add.1</v>
      </c>
      <c r="D864" s="8" t="s">
        <v>3454</v>
      </c>
      <c r="E864" s="8" t="s">
        <v>3455</v>
      </c>
      <c r="F864" s="8" t="s">
        <v>3456</v>
      </c>
      <c r="G864" s="8" t="s">
        <v>43</v>
      </c>
      <c r="H864" s="8" t="s">
        <v>3457</v>
      </c>
      <c r="I864" s="8" t="s">
        <v>3458</v>
      </c>
      <c r="J864" s="8" t="s">
        <v>43</v>
      </c>
      <c r="K864" s="8" t="s">
        <v>43</v>
      </c>
      <c r="L864" s="6"/>
      <c r="M864" s="7">
        <v>46066</v>
      </c>
      <c r="N864" s="7"/>
      <c r="O864" s="7"/>
      <c r="P864" s="6" t="s">
        <v>44</v>
      </c>
      <c r="Q864" s="8" t="s">
        <v>3459</v>
      </c>
      <c r="R864" t="str">
        <f>HYPERLINK("https://docs.wto.org/imrd/directdoc.asp?DDFDocuments/t/G/TBTN24/USA2088R1A1.docx", "https://docs.wto.org/imrd/directdoc.asp?DDFDocuments/t/G/TBTN24/USA2088R1A1.docx")</f>
        <v>https://docs.wto.org/imrd/directdoc.asp?DDFDocuments/t/G/TBTN24/USA2088R1A1.docx</v>
      </c>
      <c r="S864" t="str">
        <f>HYPERLINK("https://docs.wto.org/imrd/directdoc.asp?DDFDocuments/u/G/TBTN24/USA2088R1A1.docx", "https://docs.wto.org/imrd/directdoc.asp?DDFDocuments/u/G/TBTN24/USA2088R1A1.docx")</f>
        <v>https://docs.wto.org/imrd/directdoc.asp?DDFDocuments/u/G/TBTN24/USA2088R1A1.docx</v>
      </c>
      <c r="T864" t="str">
        <f>HYPERLINK("https://docs.wto.org/imrd/directdoc.asp?DDFDocuments/v/G/TBTN24/USA2088R1A1.docx", "https://docs.wto.org/imrd/directdoc.asp?DDFDocuments/v/G/TBTN24/USA2088R1A1.docx")</f>
        <v>https://docs.wto.org/imrd/directdoc.asp?DDFDocuments/v/G/TBTN24/USA2088R1A1.docx</v>
      </c>
      <c r="U864" t="s">
        <v>46</v>
      </c>
      <c r="V864" t="s">
        <v>46</v>
      </c>
      <c r="W864" t="s">
        <v>46</v>
      </c>
      <c r="X864" t="s">
        <v>46</v>
      </c>
      <c r="Y864" t="s">
        <v>46</v>
      </c>
      <c r="Z864" t="s">
        <v>46</v>
      </c>
      <c r="AA864" t="s">
        <v>46</v>
      </c>
      <c r="AB864" s="2" t="s">
        <v>43</v>
      </c>
      <c r="AC864" t="s">
        <v>43</v>
      </c>
      <c r="AD864" t="s">
        <v>43</v>
      </c>
      <c r="AE864" t="s">
        <v>43</v>
      </c>
      <c r="AF864" t="s">
        <v>43</v>
      </c>
      <c r="AG864" t="s">
        <v>43</v>
      </c>
      <c r="AH864" s="2" t="s">
        <v>43</v>
      </c>
    </row>
    <row r="865" spans="1:34" ht="360">
      <c r="A865" s="6" t="s">
        <v>82</v>
      </c>
      <c r="B865" s="7">
        <v>46055</v>
      </c>
      <c r="C865" s="9" t="str">
        <f>HYPERLINK("https://eping.wto.org/en/Search?viewData= G/SPS/N/JPN/1358/Add.1"," G/SPS/N/JPN/1358/Add.1")</f>
        <v xml:space="preserve"> G/SPS/N/JPN/1358/Add.1</v>
      </c>
      <c r="D865" s="8" t="s">
        <v>3423</v>
      </c>
      <c r="E865" s="8" t="s">
        <v>3460</v>
      </c>
      <c r="F865" s="8" t="s">
        <v>3461</v>
      </c>
      <c r="G865" s="8" t="s">
        <v>3462</v>
      </c>
      <c r="H865" s="8" t="s">
        <v>43</v>
      </c>
      <c r="I865" s="8" t="s">
        <v>58</v>
      </c>
      <c r="J865" s="8" t="s">
        <v>43</v>
      </c>
      <c r="K865" s="8" t="s">
        <v>3427</v>
      </c>
      <c r="L865" s="6"/>
      <c r="M865" s="7" t="s">
        <v>43</v>
      </c>
      <c r="N865" s="7"/>
      <c r="O865" s="7"/>
      <c r="P865" s="6" t="s">
        <v>44</v>
      </c>
      <c r="Q865" s="8" t="s">
        <v>3463</v>
      </c>
      <c r="R865" t="str">
        <f>HYPERLINK("https://docs.wto.org/imrd/directdoc.asp?DDFDocuments/t/G/SPS/NJPN1358A1.docx", "https://docs.wto.org/imrd/directdoc.asp?DDFDocuments/t/G/SPS/NJPN1358A1.docx")</f>
        <v>https://docs.wto.org/imrd/directdoc.asp?DDFDocuments/t/G/SPS/NJPN1358A1.docx</v>
      </c>
      <c r="S865" t="str">
        <f>HYPERLINK("https://docs.wto.org/imrd/directdoc.asp?DDFDocuments/u/G/SPS/NJPN1358A1.docx", "https://docs.wto.org/imrd/directdoc.asp?DDFDocuments/u/G/SPS/NJPN1358A1.docx")</f>
        <v>https://docs.wto.org/imrd/directdoc.asp?DDFDocuments/u/G/SPS/NJPN1358A1.docx</v>
      </c>
      <c r="T865" t="str">
        <f>HYPERLINK("https://docs.wto.org/imrd/directdoc.asp?DDFDocuments/v/G/SPS/NJPN1358A1.docx", "https://docs.wto.org/imrd/directdoc.asp?DDFDocuments/v/G/SPS/NJPN1358A1.docx")</f>
        <v>https://docs.wto.org/imrd/directdoc.asp?DDFDocuments/v/G/SPS/NJPN1358A1.docx</v>
      </c>
      <c r="U865" t="s">
        <v>43</v>
      </c>
      <c r="V865" t="s">
        <v>43</v>
      </c>
      <c r="W865" t="s">
        <v>43</v>
      </c>
      <c r="X865" t="s">
        <v>43</v>
      </c>
      <c r="Y865" t="s">
        <v>43</v>
      </c>
      <c r="Z865" t="s">
        <v>43</v>
      </c>
      <c r="AA865" t="s">
        <v>43</v>
      </c>
      <c r="AB865" s="2" t="s">
        <v>43</v>
      </c>
      <c r="AC865" t="s">
        <v>43</v>
      </c>
      <c r="AD865" t="s">
        <v>43</v>
      </c>
      <c r="AE865" t="s">
        <v>43</v>
      </c>
      <c r="AF865" t="s">
        <v>43</v>
      </c>
      <c r="AG865" t="s">
        <v>43</v>
      </c>
      <c r="AH865" s="2" t="s">
        <v>43</v>
      </c>
    </row>
    <row r="866" spans="1:34" ht="60">
      <c r="A866" s="6" t="s">
        <v>289</v>
      </c>
      <c r="B866" s="7">
        <v>46055</v>
      </c>
      <c r="C866" s="9" t="str">
        <f>HYPERLINK("https://eping.wto.org/en/Search?viewData= G/SPS/N/BRA/2333/Add.1"," G/SPS/N/BRA/2333/Add.1")</f>
        <v xml:space="preserve"> G/SPS/N/BRA/2333/Add.1</v>
      </c>
      <c r="D866" s="8" t="s">
        <v>3464</v>
      </c>
      <c r="E866" s="8" t="s">
        <v>3465</v>
      </c>
      <c r="F866" s="8" t="s">
        <v>3466</v>
      </c>
      <c r="G866" s="8" t="s">
        <v>43</v>
      </c>
      <c r="H866" s="8" t="s">
        <v>43</v>
      </c>
      <c r="I866" s="8" t="s">
        <v>94</v>
      </c>
      <c r="J866" s="8" t="s">
        <v>43</v>
      </c>
      <c r="K866" s="8" t="s">
        <v>2984</v>
      </c>
      <c r="L866" s="6"/>
      <c r="M866" s="7" t="s">
        <v>43</v>
      </c>
      <c r="N866" s="7"/>
      <c r="O866" s="7"/>
      <c r="P866" s="6" t="s">
        <v>44</v>
      </c>
      <c r="Q866" s="8" t="s">
        <v>3467</v>
      </c>
      <c r="R866" t="str">
        <f>HYPERLINK("https://docs.wto.org/imrd/directdoc.asp?DDFDocuments/t/G/SPS/NBRA2333A1.docx", "https://docs.wto.org/imrd/directdoc.asp?DDFDocuments/t/G/SPS/NBRA2333A1.docx")</f>
        <v>https://docs.wto.org/imrd/directdoc.asp?DDFDocuments/t/G/SPS/NBRA2333A1.docx</v>
      </c>
      <c r="S866" t="str">
        <f>HYPERLINK("https://docs.wto.org/imrd/directdoc.asp?DDFDocuments/u/G/SPS/NBRA2333A1.docx", "https://docs.wto.org/imrd/directdoc.asp?DDFDocuments/u/G/SPS/NBRA2333A1.docx")</f>
        <v>https://docs.wto.org/imrd/directdoc.asp?DDFDocuments/u/G/SPS/NBRA2333A1.docx</v>
      </c>
      <c r="T866" t="str">
        <f>HYPERLINK("https://docs.wto.org/imrd/directdoc.asp?DDFDocuments/v/G/SPS/NBRA2333A1.docx", "https://docs.wto.org/imrd/directdoc.asp?DDFDocuments/v/G/SPS/NBRA2333A1.docx")</f>
        <v>https://docs.wto.org/imrd/directdoc.asp?DDFDocuments/v/G/SPS/NBRA2333A1.docx</v>
      </c>
      <c r="U866" t="s">
        <v>43</v>
      </c>
      <c r="V866" t="s">
        <v>43</v>
      </c>
      <c r="W866" t="s">
        <v>43</v>
      </c>
      <c r="X866" t="s">
        <v>43</v>
      </c>
      <c r="Y866" t="s">
        <v>43</v>
      </c>
      <c r="Z866" t="s">
        <v>43</v>
      </c>
      <c r="AA866" t="s">
        <v>43</v>
      </c>
      <c r="AB866" s="2" t="s">
        <v>43</v>
      </c>
      <c r="AC866" t="s">
        <v>43</v>
      </c>
      <c r="AD866" t="s">
        <v>43</v>
      </c>
      <c r="AE866" t="s">
        <v>43</v>
      </c>
      <c r="AF866" t="s">
        <v>43</v>
      </c>
      <c r="AG866" t="s">
        <v>43</v>
      </c>
      <c r="AH866" s="2" t="s">
        <v>43</v>
      </c>
    </row>
    <row r="867" spans="1:34" ht="409.5">
      <c r="A867" s="6" t="s">
        <v>47</v>
      </c>
      <c r="B867" s="7">
        <v>46055</v>
      </c>
      <c r="C867" s="9" t="str">
        <f>HYPERLINK("https://eping.wto.org/en/Search?viewData= G/SPS/N/CAN/1244/Add.25"," G/SPS/N/CAN/1244/Add.25")</f>
        <v xml:space="preserve"> G/SPS/N/CAN/1244/Add.25</v>
      </c>
      <c r="D867" s="8" t="s">
        <v>3468</v>
      </c>
      <c r="E867" s="8" t="s">
        <v>3469</v>
      </c>
      <c r="F867" s="8" t="s">
        <v>3470</v>
      </c>
      <c r="G867" s="8" t="s">
        <v>3471</v>
      </c>
      <c r="H867" s="8" t="s">
        <v>43</v>
      </c>
      <c r="I867" s="8" t="s">
        <v>104</v>
      </c>
      <c r="J867" s="8" t="s">
        <v>43</v>
      </c>
      <c r="K867" s="8" t="s">
        <v>3472</v>
      </c>
      <c r="L867" s="6"/>
      <c r="M867" s="7" t="s">
        <v>43</v>
      </c>
      <c r="N867" s="7"/>
      <c r="O867" s="7"/>
      <c r="P867" s="6" t="s">
        <v>72</v>
      </c>
      <c r="Q867" s="6"/>
      <c r="R867" t="str">
        <f>HYPERLINK("https://docs.wto.org/imrd/directdoc.asp?DDFDocuments/t/G/SPS/NCAN1244A25.docx", "https://docs.wto.org/imrd/directdoc.asp?DDFDocuments/t/G/SPS/NCAN1244A25.docx")</f>
        <v>https://docs.wto.org/imrd/directdoc.asp?DDFDocuments/t/G/SPS/NCAN1244A25.docx</v>
      </c>
      <c r="S867" t="str">
        <f>HYPERLINK("https://docs.wto.org/imrd/directdoc.asp?DDFDocuments/u/G/SPS/NCAN1244A25.docx", "https://docs.wto.org/imrd/directdoc.asp?DDFDocuments/u/G/SPS/NCAN1244A25.docx")</f>
        <v>https://docs.wto.org/imrd/directdoc.asp?DDFDocuments/u/G/SPS/NCAN1244A25.docx</v>
      </c>
      <c r="T867" t="str">
        <f>HYPERLINK("https://docs.wto.org/imrd/directdoc.asp?DDFDocuments/v/G/SPS/NCAN1244A25.docx", "https://docs.wto.org/imrd/directdoc.asp?DDFDocuments/v/G/SPS/NCAN1244A25.docx")</f>
        <v>https://docs.wto.org/imrd/directdoc.asp?DDFDocuments/v/G/SPS/NCAN1244A25.docx</v>
      </c>
      <c r="U867" t="s">
        <v>43</v>
      </c>
      <c r="V867" t="s">
        <v>43</v>
      </c>
      <c r="W867" t="s">
        <v>43</v>
      </c>
      <c r="X867" t="s">
        <v>43</v>
      </c>
      <c r="Y867" t="s">
        <v>43</v>
      </c>
      <c r="Z867" t="s">
        <v>43</v>
      </c>
      <c r="AA867" t="s">
        <v>43</v>
      </c>
      <c r="AB867" s="2" t="s">
        <v>43</v>
      </c>
      <c r="AC867" t="s">
        <v>43</v>
      </c>
      <c r="AD867" t="s">
        <v>43</v>
      </c>
      <c r="AE867" t="s">
        <v>43</v>
      </c>
      <c r="AF867" t="s">
        <v>43</v>
      </c>
      <c r="AG867" t="s">
        <v>43</v>
      </c>
      <c r="AH867" s="2" t="s">
        <v>43</v>
      </c>
    </row>
    <row r="868" spans="1:34" ht="30">
      <c r="A868" s="6" t="s">
        <v>3473</v>
      </c>
      <c r="B868" s="7">
        <v>46055</v>
      </c>
      <c r="C868" s="9" t="str">
        <f>HYPERLINK("https://eping.wto.org/en/Search?viewData= G/SPS/N/GEO/35"," G/SPS/N/GEO/35")</f>
        <v xml:space="preserve"> G/SPS/N/GEO/35</v>
      </c>
      <c r="D868" s="8" t="s">
        <v>3474</v>
      </c>
      <c r="E868" s="8" t="s">
        <v>3475</v>
      </c>
      <c r="F868" s="8" t="s">
        <v>3476</v>
      </c>
      <c r="G868" s="8" t="s">
        <v>3477</v>
      </c>
      <c r="H868" s="8" t="s">
        <v>43</v>
      </c>
      <c r="I868" s="8" t="s">
        <v>58</v>
      </c>
      <c r="J868" s="8" t="s">
        <v>43</v>
      </c>
      <c r="K868" s="8" t="s">
        <v>2405</v>
      </c>
      <c r="L868" s="6" t="s">
        <v>43</v>
      </c>
      <c r="M868" s="7">
        <v>46115</v>
      </c>
      <c r="N868" s="7">
        <v>46122</v>
      </c>
      <c r="O868" s="7">
        <v>46308</v>
      </c>
      <c r="P868" s="6" t="s">
        <v>62</v>
      </c>
      <c r="Q868" s="8" t="s">
        <v>3478</v>
      </c>
      <c r="R868" t="str">
        <f>HYPERLINK("https://docs.wto.org/imrd/directdoc.asp?DDFDocuments/t/G/SPS/NGEO35.docx", "https://docs.wto.org/imrd/directdoc.asp?DDFDocuments/t/G/SPS/NGEO35.docx")</f>
        <v>https://docs.wto.org/imrd/directdoc.asp?DDFDocuments/t/G/SPS/NGEO35.docx</v>
      </c>
      <c r="S868" t="str">
        <f>HYPERLINK("https://docs.wto.org/imrd/directdoc.asp?DDFDocuments/u/G/SPS/NGEO35.docx", "https://docs.wto.org/imrd/directdoc.asp?DDFDocuments/u/G/SPS/NGEO35.docx")</f>
        <v>https://docs.wto.org/imrd/directdoc.asp?DDFDocuments/u/G/SPS/NGEO35.docx</v>
      </c>
      <c r="T868" t="str">
        <f>HYPERLINK("https://docs.wto.org/imrd/directdoc.asp?DDFDocuments/v/G/SPS/NGEO35.docx", "https://docs.wto.org/imrd/directdoc.asp?DDFDocuments/v/G/SPS/NGEO35.docx")</f>
        <v>https://docs.wto.org/imrd/directdoc.asp?DDFDocuments/v/G/SPS/NGEO35.docx</v>
      </c>
      <c r="U868" t="s">
        <v>43</v>
      </c>
      <c r="V868" t="s">
        <v>43</v>
      </c>
      <c r="W868" t="s">
        <v>43</v>
      </c>
      <c r="X868" t="s">
        <v>43</v>
      </c>
      <c r="Y868" t="s">
        <v>43</v>
      </c>
      <c r="Z868" t="s">
        <v>43</v>
      </c>
      <c r="AA868" t="s">
        <v>43</v>
      </c>
      <c r="AB868" s="2" t="s">
        <v>43</v>
      </c>
      <c r="AC868" t="s">
        <v>64</v>
      </c>
      <c r="AD868" t="s">
        <v>46</v>
      </c>
      <c r="AE868" t="s">
        <v>46</v>
      </c>
      <c r="AF868" t="s">
        <v>46</v>
      </c>
      <c r="AG868" t="s">
        <v>64</v>
      </c>
      <c r="AH868" s="2" t="s">
        <v>3479</v>
      </c>
    </row>
    <row r="869" spans="1:34" ht="409.5">
      <c r="A869" s="6" t="s">
        <v>47</v>
      </c>
      <c r="B869" s="7">
        <v>46055</v>
      </c>
      <c r="C869" s="9" t="str">
        <f>HYPERLINK("https://eping.wto.org/en/Search?viewData= G/TBT/N/CAN/766/Add.1"," G/TBT/N/CAN/766/Add.1")</f>
        <v xml:space="preserve"> G/TBT/N/CAN/766/Add.1</v>
      </c>
      <c r="D869" s="8" t="s">
        <v>3480</v>
      </c>
      <c r="E869" s="8" t="s">
        <v>3481</v>
      </c>
      <c r="F869" s="8" t="s">
        <v>857</v>
      </c>
      <c r="G869" s="8" t="s">
        <v>43</v>
      </c>
      <c r="H869" s="8" t="s">
        <v>858</v>
      </c>
      <c r="I869" s="8" t="s">
        <v>52</v>
      </c>
      <c r="J869" s="8" t="s">
        <v>859</v>
      </c>
      <c r="K869" s="8" t="s">
        <v>860</v>
      </c>
      <c r="L869" s="6"/>
      <c r="M869" s="7">
        <v>46101</v>
      </c>
      <c r="N869" s="7"/>
      <c r="O869" s="7"/>
      <c r="P869" s="6" t="s">
        <v>44</v>
      </c>
      <c r="Q869" s="6"/>
      <c r="R869" t="str">
        <f>HYPERLINK("https://docs.wto.org/imrd/directdoc.asp?DDFDocuments/t/G/TBTN26/CAN766A1.docx", "https://docs.wto.org/imrd/directdoc.asp?DDFDocuments/t/G/TBTN26/CAN766A1.docx")</f>
        <v>https://docs.wto.org/imrd/directdoc.asp?DDFDocuments/t/G/TBTN26/CAN766A1.docx</v>
      </c>
      <c r="S869" t="str">
        <f>HYPERLINK("https://docs.wto.org/imrd/directdoc.asp?DDFDocuments/u/G/TBTN26/CAN766A1.docx", "https://docs.wto.org/imrd/directdoc.asp?DDFDocuments/u/G/TBTN26/CAN766A1.docx")</f>
        <v>https://docs.wto.org/imrd/directdoc.asp?DDFDocuments/u/G/TBTN26/CAN766A1.docx</v>
      </c>
      <c r="T869" t="str">
        <f>HYPERLINK("https://docs.wto.org/imrd/directdoc.asp?DDFDocuments/v/G/TBTN26/CAN766A1.docx", "https://docs.wto.org/imrd/directdoc.asp?DDFDocuments/v/G/TBTN26/CAN766A1.docx")</f>
        <v>https://docs.wto.org/imrd/directdoc.asp?DDFDocuments/v/G/TBTN26/CAN766A1.docx</v>
      </c>
      <c r="U869" t="s">
        <v>46</v>
      </c>
      <c r="V869" t="s">
        <v>46</v>
      </c>
      <c r="W869" t="s">
        <v>46</v>
      </c>
      <c r="X869" t="s">
        <v>46</v>
      </c>
      <c r="Y869" t="s">
        <v>46</v>
      </c>
      <c r="Z869" t="s">
        <v>46</v>
      </c>
      <c r="AA869" t="s">
        <v>46</v>
      </c>
      <c r="AB869" s="2" t="s">
        <v>43</v>
      </c>
      <c r="AC869" t="s">
        <v>43</v>
      </c>
      <c r="AD869" t="s">
        <v>43</v>
      </c>
      <c r="AE869" t="s">
        <v>43</v>
      </c>
      <c r="AF869" t="s">
        <v>43</v>
      </c>
      <c r="AG869" t="s">
        <v>43</v>
      </c>
      <c r="AH869" s="2" t="s">
        <v>43</v>
      </c>
    </row>
    <row r="870" spans="1:34" ht="390">
      <c r="A870" s="6" t="s">
        <v>146</v>
      </c>
      <c r="B870" s="7">
        <v>46055</v>
      </c>
      <c r="C870" s="9" t="str">
        <f>HYPERLINK("https://eping.wto.org/en/Search?viewData= G/TBT/N/CHL/785"," G/TBT/N/CHL/785")</f>
        <v xml:space="preserve"> G/TBT/N/CHL/785</v>
      </c>
      <c r="D870" s="8" t="s">
        <v>3482</v>
      </c>
      <c r="E870" s="8" t="s">
        <v>3483</v>
      </c>
      <c r="F870" s="8" t="s">
        <v>3484</v>
      </c>
      <c r="G870" s="8" t="s">
        <v>43</v>
      </c>
      <c r="H870" s="8" t="s">
        <v>43</v>
      </c>
      <c r="I870" s="8" t="s">
        <v>129</v>
      </c>
      <c r="J870" s="8" t="s">
        <v>43</v>
      </c>
      <c r="K870" s="8" t="s">
        <v>43</v>
      </c>
      <c r="L870" s="6"/>
      <c r="M870" s="7">
        <v>46115</v>
      </c>
      <c r="N870" s="7" t="s">
        <v>877</v>
      </c>
      <c r="O870" s="7" t="s">
        <v>877</v>
      </c>
      <c r="P870" s="6" t="s">
        <v>62</v>
      </c>
      <c r="Q870" s="6"/>
      <c r="R870" t="str">
        <f>HYPERLINK("https://docs.wto.org/imrd/directdoc.asp?DDFDocuments/t/G/TBTN26/CHL785.docx", "https://docs.wto.org/imrd/directdoc.asp?DDFDocuments/t/G/TBTN26/CHL785.docx")</f>
        <v>https://docs.wto.org/imrd/directdoc.asp?DDFDocuments/t/G/TBTN26/CHL785.docx</v>
      </c>
      <c r="S870" t="str">
        <f>HYPERLINK("https://docs.wto.org/imrd/directdoc.asp?DDFDocuments/u/G/TBTN26/CHL785.docx", "https://docs.wto.org/imrd/directdoc.asp?DDFDocuments/u/G/TBTN26/CHL785.docx")</f>
        <v>https://docs.wto.org/imrd/directdoc.asp?DDFDocuments/u/G/TBTN26/CHL785.docx</v>
      </c>
      <c r="T870" t="str">
        <f>HYPERLINK("https://docs.wto.org/imrd/directdoc.asp?DDFDocuments/v/G/TBTN26/CHL785.docx", "https://docs.wto.org/imrd/directdoc.asp?DDFDocuments/v/G/TBTN26/CHL785.docx")</f>
        <v>https://docs.wto.org/imrd/directdoc.asp?DDFDocuments/v/G/TBTN26/CHL785.docx</v>
      </c>
      <c r="U870" t="s">
        <v>64</v>
      </c>
      <c r="V870" t="s">
        <v>46</v>
      </c>
      <c r="W870" t="s">
        <v>46</v>
      </c>
      <c r="X870" t="s">
        <v>46</v>
      </c>
      <c r="Y870" t="s">
        <v>46</v>
      </c>
      <c r="Z870" t="s">
        <v>46</v>
      </c>
      <c r="AA870" t="s">
        <v>46</v>
      </c>
      <c r="AB870" s="2" t="s">
        <v>3485</v>
      </c>
      <c r="AC870" t="s">
        <v>43</v>
      </c>
      <c r="AD870" t="s">
        <v>43</v>
      </c>
      <c r="AE870" t="s">
        <v>43</v>
      </c>
      <c r="AF870" t="s">
        <v>43</v>
      </c>
      <c r="AG870" t="s">
        <v>43</v>
      </c>
      <c r="AH870" s="2" t="s">
        <v>43</v>
      </c>
    </row>
    <row r="871" spans="1:34" ht="409.5">
      <c r="A871" s="6" t="s">
        <v>82</v>
      </c>
      <c r="B871" s="7">
        <v>46055</v>
      </c>
      <c r="C871" s="9" t="str">
        <f>HYPERLINK("https://eping.wto.org/en/Search?viewData= G/SPS/N/JPN/1356/Add.1"," G/SPS/N/JPN/1356/Add.1")</f>
        <v xml:space="preserve"> G/SPS/N/JPN/1356/Add.1</v>
      </c>
      <c r="D871" s="8" t="s">
        <v>3423</v>
      </c>
      <c r="E871" s="8" t="s">
        <v>3486</v>
      </c>
      <c r="F871" s="8" t="s">
        <v>3487</v>
      </c>
      <c r="G871" s="8" t="s">
        <v>3488</v>
      </c>
      <c r="H871" s="8" t="s">
        <v>43</v>
      </c>
      <c r="I871" s="8" t="s">
        <v>58</v>
      </c>
      <c r="J871" s="8" t="s">
        <v>43</v>
      </c>
      <c r="K871" s="8" t="s">
        <v>3489</v>
      </c>
      <c r="L871" s="6"/>
      <c r="M871" s="7" t="s">
        <v>43</v>
      </c>
      <c r="N871" s="7"/>
      <c r="O871" s="7"/>
      <c r="P871" s="6" t="s">
        <v>44</v>
      </c>
      <c r="Q871" s="8" t="s">
        <v>3490</v>
      </c>
      <c r="R871" t="str">
        <f>HYPERLINK("https://docs.wto.org/imrd/directdoc.asp?DDFDocuments/t/G/SPS/NJPN1356A1.docx", "https://docs.wto.org/imrd/directdoc.asp?DDFDocuments/t/G/SPS/NJPN1356A1.docx")</f>
        <v>https://docs.wto.org/imrd/directdoc.asp?DDFDocuments/t/G/SPS/NJPN1356A1.docx</v>
      </c>
      <c r="S871" t="str">
        <f>HYPERLINK("https://docs.wto.org/imrd/directdoc.asp?DDFDocuments/u/G/SPS/NJPN1356A1.docx", "https://docs.wto.org/imrd/directdoc.asp?DDFDocuments/u/G/SPS/NJPN1356A1.docx")</f>
        <v>https://docs.wto.org/imrd/directdoc.asp?DDFDocuments/u/G/SPS/NJPN1356A1.docx</v>
      </c>
      <c r="T871" t="str">
        <f>HYPERLINK("https://docs.wto.org/imrd/directdoc.asp?DDFDocuments/v/G/SPS/NJPN1356A1.docx", "https://docs.wto.org/imrd/directdoc.asp?DDFDocuments/v/G/SPS/NJPN1356A1.docx")</f>
        <v>https://docs.wto.org/imrd/directdoc.asp?DDFDocuments/v/G/SPS/NJPN1356A1.docx</v>
      </c>
      <c r="U871" t="s">
        <v>43</v>
      </c>
      <c r="V871" t="s">
        <v>43</v>
      </c>
      <c r="W871" t="s">
        <v>43</v>
      </c>
      <c r="X871" t="s">
        <v>43</v>
      </c>
      <c r="Y871" t="s">
        <v>43</v>
      </c>
      <c r="Z871" t="s">
        <v>43</v>
      </c>
      <c r="AA871" t="s">
        <v>43</v>
      </c>
      <c r="AB871" s="2" t="s">
        <v>43</v>
      </c>
      <c r="AC871" t="s">
        <v>43</v>
      </c>
      <c r="AD871" t="s">
        <v>43</v>
      </c>
      <c r="AE871" t="s">
        <v>43</v>
      </c>
      <c r="AF871" t="s">
        <v>43</v>
      </c>
      <c r="AG871" t="s">
        <v>43</v>
      </c>
      <c r="AH871" s="2" t="s">
        <v>43</v>
      </c>
    </row>
    <row r="872" spans="1:34" ht="105">
      <c r="A872" s="6" t="s">
        <v>249</v>
      </c>
      <c r="B872" s="7">
        <v>46055</v>
      </c>
      <c r="C872" s="9" t="str">
        <f>HYPERLINK("https://eping.wto.org/en/Search?viewData= G/SPS/N/COL/412"," G/SPS/N/COL/412")</f>
        <v xml:space="preserve"> G/SPS/N/COL/412</v>
      </c>
      <c r="D872" s="8" t="s">
        <v>3491</v>
      </c>
      <c r="E872" s="8" t="s">
        <v>3492</v>
      </c>
      <c r="F872" s="8" t="s">
        <v>3493</v>
      </c>
      <c r="G872" s="8" t="s">
        <v>43</v>
      </c>
      <c r="H872" s="8" t="s">
        <v>43</v>
      </c>
      <c r="I872" s="8" t="s">
        <v>104</v>
      </c>
      <c r="J872" s="8" t="s">
        <v>43</v>
      </c>
      <c r="K872" s="8" t="s">
        <v>3494</v>
      </c>
      <c r="L872" s="6" t="s">
        <v>196</v>
      </c>
      <c r="M872" s="7" t="s">
        <v>43</v>
      </c>
      <c r="N872" s="7"/>
      <c r="O872" s="7" t="s">
        <v>3200</v>
      </c>
      <c r="P872" s="6" t="s">
        <v>107</v>
      </c>
      <c r="Q872" s="8" t="s">
        <v>3495</v>
      </c>
      <c r="R872" t="str">
        <f>HYPERLINK("https://docs.wto.org/imrd/directdoc.asp?DDFDocuments/t/G/SPS/NCOL412.docx", "https://docs.wto.org/imrd/directdoc.asp?DDFDocuments/t/G/SPS/NCOL412.docx")</f>
        <v>https://docs.wto.org/imrd/directdoc.asp?DDFDocuments/t/G/SPS/NCOL412.docx</v>
      </c>
      <c r="S872" t="str">
        <f>HYPERLINK("https://docs.wto.org/imrd/directdoc.asp?DDFDocuments/u/G/SPS/NCOL412.docx", "https://docs.wto.org/imrd/directdoc.asp?DDFDocuments/u/G/SPS/NCOL412.docx")</f>
        <v>https://docs.wto.org/imrd/directdoc.asp?DDFDocuments/u/G/SPS/NCOL412.docx</v>
      </c>
      <c r="T872" t="str">
        <f>HYPERLINK("https://docs.wto.org/imrd/directdoc.asp?DDFDocuments/v/G/SPS/NCOL412.docx", "https://docs.wto.org/imrd/directdoc.asp?DDFDocuments/v/G/SPS/NCOL412.docx")</f>
        <v>https://docs.wto.org/imrd/directdoc.asp?DDFDocuments/v/G/SPS/NCOL412.docx</v>
      </c>
      <c r="U872" t="s">
        <v>43</v>
      </c>
      <c r="V872" t="s">
        <v>43</v>
      </c>
      <c r="W872" t="s">
        <v>43</v>
      </c>
      <c r="X872" t="s">
        <v>43</v>
      </c>
      <c r="Y872" t="s">
        <v>43</v>
      </c>
      <c r="Z872" t="s">
        <v>43</v>
      </c>
      <c r="AA872" t="s">
        <v>43</v>
      </c>
      <c r="AB872" s="2" t="s">
        <v>43</v>
      </c>
      <c r="AC872" t="s">
        <v>46</v>
      </c>
      <c r="AD872" t="s">
        <v>64</v>
      </c>
      <c r="AE872" t="s">
        <v>46</v>
      </c>
      <c r="AF872" t="s">
        <v>46</v>
      </c>
      <c r="AG872" t="s">
        <v>64</v>
      </c>
      <c r="AH872" s="2" t="s">
        <v>43</v>
      </c>
    </row>
    <row r="873" spans="1:34" ht="180">
      <c r="A873" s="6" t="s">
        <v>47</v>
      </c>
      <c r="B873" s="7">
        <v>46055</v>
      </c>
      <c r="C873" s="9" t="str">
        <f>HYPERLINK("https://eping.wto.org/en/Search?viewData= G/SPS/N/CAN/1632"," G/SPS/N/CAN/1632")</f>
        <v xml:space="preserve"> G/SPS/N/CAN/1632</v>
      </c>
      <c r="D873" s="8" t="s">
        <v>3496</v>
      </c>
      <c r="E873" s="8" t="s">
        <v>3497</v>
      </c>
      <c r="F873" s="8" t="s">
        <v>3498</v>
      </c>
      <c r="G873" s="8" t="s">
        <v>43</v>
      </c>
      <c r="H873" s="8" t="s">
        <v>3499</v>
      </c>
      <c r="I873" s="8" t="s">
        <v>58</v>
      </c>
      <c r="J873" s="8" t="s">
        <v>43</v>
      </c>
      <c r="K873" s="8" t="s">
        <v>2637</v>
      </c>
      <c r="L873" s="6" t="s">
        <v>43</v>
      </c>
      <c r="M873" s="7">
        <v>46126</v>
      </c>
      <c r="N873" s="7" t="s">
        <v>1062</v>
      </c>
      <c r="O873" s="7" t="s">
        <v>1063</v>
      </c>
      <c r="P873" s="6" t="s">
        <v>62</v>
      </c>
      <c r="Q873" s="6"/>
      <c r="R873" t="str">
        <f>HYPERLINK("https://docs.wto.org/imrd/directdoc.asp?DDFDocuments/t/G/SPS/NCAN1632.docx", "https://docs.wto.org/imrd/directdoc.asp?DDFDocuments/t/G/SPS/NCAN1632.docx")</f>
        <v>https://docs.wto.org/imrd/directdoc.asp?DDFDocuments/t/G/SPS/NCAN1632.docx</v>
      </c>
      <c r="S873" t="str">
        <f>HYPERLINK("https://docs.wto.org/imrd/directdoc.asp?DDFDocuments/u/G/SPS/NCAN1632.docx", "https://docs.wto.org/imrd/directdoc.asp?DDFDocuments/u/G/SPS/NCAN1632.docx")</f>
        <v>https://docs.wto.org/imrd/directdoc.asp?DDFDocuments/u/G/SPS/NCAN1632.docx</v>
      </c>
      <c r="T873" t="str">
        <f>HYPERLINK("https://docs.wto.org/imrd/directdoc.asp?DDFDocuments/v/G/SPS/NCAN1632.docx", "https://docs.wto.org/imrd/directdoc.asp?DDFDocuments/v/G/SPS/NCAN1632.docx")</f>
        <v>https://docs.wto.org/imrd/directdoc.asp?DDFDocuments/v/G/SPS/NCAN1632.docx</v>
      </c>
      <c r="U873" t="s">
        <v>43</v>
      </c>
      <c r="V873" t="s">
        <v>43</v>
      </c>
      <c r="W873" t="s">
        <v>43</v>
      </c>
      <c r="X873" t="s">
        <v>43</v>
      </c>
      <c r="Y873" t="s">
        <v>43</v>
      </c>
      <c r="Z873" t="s">
        <v>43</v>
      </c>
      <c r="AA873" t="s">
        <v>43</v>
      </c>
      <c r="AB873" s="2" t="s">
        <v>43</v>
      </c>
      <c r="AC873" t="s">
        <v>64</v>
      </c>
      <c r="AD873" t="s">
        <v>46</v>
      </c>
      <c r="AE873" t="s">
        <v>46</v>
      </c>
      <c r="AF873" t="s">
        <v>46</v>
      </c>
      <c r="AG873" t="s">
        <v>46</v>
      </c>
      <c r="AH873" s="2" t="s">
        <v>3500</v>
      </c>
    </row>
    <row r="874" spans="1:34" ht="45">
      <c r="A874" s="6" t="s">
        <v>89</v>
      </c>
      <c r="B874" s="7">
        <v>46055</v>
      </c>
      <c r="C874" s="9" t="str">
        <f>HYPERLINK("https://eping.wto.org/en/Search?viewData= G/SPS/N/CRI/348"," G/SPS/N/CRI/348")</f>
        <v xml:space="preserve"> G/SPS/N/CRI/348</v>
      </c>
      <c r="D874" s="8" t="s">
        <v>3501</v>
      </c>
      <c r="E874" s="8" t="s">
        <v>3502</v>
      </c>
      <c r="F874" s="8" t="s">
        <v>3503</v>
      </c>
      <c r="G874" s="8" t="s">
        <v>43</v>
      </c>
      <c r="H874" s="8" t="s">
        <v>43</v>
      </c>
      <c r="I874" s="8" t="s">
        <v>94</v>
      </c>
      <c r="J874" s="8" t="s">
        <v>43</v>
      </c>
      <c r="K874" s="8" t="s">
        <v>95</v>
      </c>
      <c r="L874" s="6" t="s">
        <v>880</v>
      </c>
      <c r="M874" s="7">
        <v>46115</v>
      </c>
      <c r="N874" s="7" t="s">
        <v>79</v>
      </c>
      <c r="O874" s="7" t="s">
        <v>2172</v>
      </c>
      <c r="P874" s="6" t="s">
        <v>62</v>
      </c>
      <c r="Q874" s="8" t="s">
        <v>3504</v>
      </c>
      <c r="R874" t="str">
        <f>HYPERLINK("https://docs.wto.org/imrd/directdoc.asp?DDFDocuments/t/G/SPS/NCRI348.docx", "https://docs.wto.org/imrd/directdoc.asp?DDFDocuments/t/G/SPS/NCRI348.docx")</f>
        <v>https://docs.wto.org/imrd/directdoc.asp?DDFDocuments/t/G/SPS/NCRI348.docx</v>
      </c>
      <c r="S874" t="str">
        <f>HYPERLINK("https://docs.wto.org/imrd/directdoc.asp?DDFDocuments/u/G/SPS/NCRI348.docx", "https://docs.wto.org/imrd/directdoc.asp?DDFDocuments/u/G/SPS/NCRI348.docx")</f>
        <v>https://docs.wto.org/imrd/directdoc.asp?DDFDocuments/u/G/SPS/NCRI348.docx</v>
      </c>
      <c r="T874" t="str">
        <f>HYPERLINK("https://docs.wto.org/imrd/directdoc.asp?DDFDocuments/v/G/SPS/NCRI348.docx", "https://docs.wto.org/imrd/directdoc.asp?DDFDocuments/v/G/SPS/NCRI348.docx")</f>
        <v>https://docs.wto.org/imrd/directdoc.asp?DDFDocuments/v/G/SPS/NCRI348.docx</v>
      </c>
      <c r="U874" t="s">
        <v>43</v>
      </c>
      <c r="V874" t="s">
        <v>43</v>
      </c>
      <c r="W874" t="s">
        <v>43</v>
      </c>
      <c r="X874" t="s">
        <v>43</v>
      </c>
      <c r="Y874" t="s">
        <v>43</v>
      </c>
      <c r="Z874" t="s">
        <v>43</v>
      </c>
      <c r="AA874" t="s">
        <v>43</v>
      </c>
      <c r="AB874" s="2" t="s">
        <v>43</v>
      </c>
      <c r="AC874" t="s">
        <v>46</v>
      </c>
      <c r="AD874" t="s">
        <v>46</v>
      </c>
      <c r="AE874" t="s">
        <v>46</v>
      </c>
      <c r="AF874" t="s">
        <v>64</v>
      </c>
      <c r="AG874" t="s">
        <v>99</v>
      </c>
      <c r="AH874" s="2" t="s">
        <v>43</v>
      </c>
    </row>
    <row r="875" spans="1:34" ht="90">
      <c r="A875" s="6" t="s">
        <v>146</v>
      </c>
      <c r="B875" s="7">
        <v>46055</v>
      </c>
      <c r="C875" s="9" t="str">
        <f>HYPERLINK("https://eping.wto.org/en/Search?viewData= G/TBT/N/CHL/784"," G/TBT/N/CHL/784")</f>
        <v xml:space="preserve"> G/TBT/N/CHL/784</v>
      </c>
      <c r="D875" s="8" t="s">
        <v>3505</v>
      </c>
      <c r="E875" s="8" t="s">
        <v>3506</v>
      </c>
      <c r="F875" s="8" t="s">
        <v>3484</v>
      </c>
      <c r="G875" s="8" t="s">
        <v>43</v>
      </c>
      <c r="H875" s="8" t="s">
        <v>43</v>
      </c>
      <c r="I875" s="8" t="s">
        <v>129</v>
      </c>
      <c r="J875" s="8" t="s">
        <v>43</v>
      </c>
      <c r="K875" s="8" t="s">
        <v>43</v>
      </c>
      <c r="L875" s="6"/>
      <c r="M875" s="7">
        <v>46115</v>
      </c>
      <c r="N875" s="7" t="s">
        <v>877</v>
      </c>
      <c r="O875" s="7" t="s">
        <v>877</v>
      </c>
      <c r="P875" s="6" t="s">
        <v>62</v>
      </c>
      <c r="Q875" s="6"/>
      <c r="R875" t="str">
        <f>HYPERLINK("https://docs.wto.org/imrd/directdoc.asp?DDFDocuments/t/G/TBTN26/CHL784.docx", "https://docs.wto.org/imrd/directdoc.asp?DDFDocuments/t/G/TBTN26/CHL784.docx")</f>
        <v>https://docs.wto.org/imrd/directdoc.asp?DDFDocuments/t/G/TBTN26/CHL784.docx</v>
      </c>
      <c r="S875" t="str">
        <f>HYPERLINK("https://docs.wto.org/imrd/directdoc.asp?DDFDocuments/u/G/TBTN26/CHL784.docx", "https://docs.wto.org/imrd/directdoc.asp?DDFDocuments/u/G/TBTN26/CHL784.docx")</f>
        <v>https://docs.wto.org/imrd/directdoc.asp?DDFDocuments/u/G/TBTN26/CHL784.docx</v>
      </c>
      <c r="T875" t="str">
        <f>HYPERLINK("https://docs.wto.org/imrd/directdoc.asp?DDFDocuments/v/G/TBTN26/CHL784.docx", "https://docs.wto.org/imrd/directdoc.asp?DDFDocuments/v/G/TBTN26/CHL784.docx")</f>
        <v>https://docs.wto.org/imrd/directdoc.asp?DDFDocuments/v/G/TBTN26/CHL784.docx</v>
      </c>
      <c r="U875" t="s">
        <v>64</v>
      </c>
      <c r="V875" t="s">
        <v>46</v>
      </c>
      <c r="W875" t="s">
        <v>46</v>
      </c>
      <c r="X875" t="s">
        <v>46</v>
      </c>
      <c r="Y875" t="s">
        <v>46</v>
      </c>
      <c r="Z875" t="s">
        <v>46</v>
      </c>
      <c r="AA875" t="s">
        <v>46</v>
      </c>
      <c r="AB875" s="2" t="s">
        <v>3507</v>
      </c>
      <c r="AC875" t="s">
        <v>43</v>
      </c>
      <c r="AD875" t="s">
        <v>43</v>
      </c>
      <c r="AE875" t="s">
        <v>43</v>
      </c>
      <c r="AF875" t="s">
        <v>43</v>
      </c>
      <c r="AG875" t="s">
        <v>43</v>
      </c>
      <c r="AH875" s="2" t="s">
        <v>43</v>
      </c>
    </row>
    <row r="876" spans="1:34" ht="135">
      <c r="A876" s="6" t="s">
        <v>47</v>
      </c>
      <c r="B876" s="7">
        <v>46055</v>
      </c>
      <c r="C876" s="9" t="str">
        <f>HYPERLINK("https://eping.wto.org/en/Search?viewData= G/TBT/N/CAN/768"," G/TBT/N/CAN/768")</f>
        <v xml:space="preserve"> G/TBT/N/CAN/768</v>
      </c>
      <c r="D876" s="8" t="s">
        <v>3508</v>
      </c>
      <c r="E876" s="8" t="s">
        <v>3509</v>
      </c>
      <c r="F876" s="8" t="s">
        <v>3510</v>
      </c>
      <c r="G876" s="8" t="s">
        <v>43</v>
      </c>
      <c r="H876" s="8" t="s">
        <v>43</v>
      </c>
      <c r="I876" s="8" t="s">
        <v>52</v>
      </c>
      <c r="J876" s="8" t="s">
        <v>3511</v>
      </c>
      <c r="K876" s="8" t="s">
        <v>43</v>
      </c>
      <c r="L876" s="6"/>
      <c r="M876" s="7">
        <v>46112</v>
      </c>
      <c r="N876" s="7" t="s">
        <v>3512</v>
      </c>
      <c r="O876" s="7" t="s">
        <v>3513</v>
      </c>
      <c r="P876" s="6" t="s">
        <v>62</v>
      </c>
      <c r="Q876" s="8" t="s">
        <v>3514</v>
      </c>
      <c r="R876" t="str">
        <f>HYPERLINK("https://docs.wto.org/imrd/directdoc.asp?DDFDocuments/t/G/TBTN26/CAN768.docx", "https://docs.wto.org/imrd/directdoc.asp?DDFDocuments/t/G/TBTN26/CAN768.docx")</f>
        <v>https://docs.wto.org/imrd/directdoc.asp?DDFDocuments/t/G/TBTN26/CAN768.docx</v>
      </c>
      <c r="S876" t="str">
        <f>HYPERLINK("https://docs.wto.org/imrd/directdoc.asp?DDFDocuments/u/G/TBTN26/CAN768.docx", "https://docs.wto.org/imrd/directdoc.asp?DDFDocuments/u/G/TBTN26/CAN768.docx")</f>
        <v>https://docs.wto.org/imrd/directdoc.asp?DDFDocuments/u/G/TBTN26/CAN768.docx</v>
      </c>
      <c r="T876" t="str">
        <f>HYPERLINK("https://docs.wto.org/imrd/directdoc.asp?DDFDocuments/v/G/TBTN26/CAN768.docx", "https://docs.wto.org/imrd/directdoc.asp?DDFDocuments/v/G/TBTN26/CAN768.docx")</f>
        <v>https://docs.wto.org/imrd/directdoc.asp?DDFDocuments/v/G/TBTN26/CAN768.docx</v>
      </c>
      <c r="U876" t="s">
        <v>64</v>
      </c>
      <c r="V876" t="s">
        <v>46</v>
      </c>
      <c r="W876" t="s">
        <v>46</v>
      </c>
      <c r="X876" t="s">
        <v>46</v>
      </c>
      <c r="Y876" t="s">
        <v>46</v>
      </c>
      <c r="Z876" t="s">
        <v>46</v>
      </c>
      <c r="AA876" t="s">
        <v>46</v>
      </c>
      <c r="AB876" s="2" t="s">
        <v>3515</v>
      </c>
      <c r="AC876" t="s">
        <v>43</v>
      </c>
      <c r="AD876" t="s">
        <v>43</v>
      </c>
      <c r="AE876" t="s">
        <v>43</v>
      </c>
      <c r="AF876" t="s">
        <v>43</v>
      </c>
      <c r="AG876" t="s">
        <v>43</v>
      </c>
      <c r="AH876" s="2" t="s">
        <v>43</v>
      </c>
    </row>
    <row r="877" spans="1:34" ht="120">
      <c r="A877" s="6" t="s">
        <v>338</v>
      </c>
      <c r="B877" s="7">
        <v>46055</v>
      </c>
      <c r="C877" s="9" t="str">
        <f>HYPERLINK("https://eping.wto.org/en/Search?viewData= G/SPS/N/SAU/604/Add.1"," G/SPS/N/SAU/604/Add.1")</f>
        <v xml:space="preserve"> G/SPS/N/SAU/604/Add.1</v>
      </c>
      <c r="D877" s="8" t="s">
        <v>2029</v>
      </c>
      <c r="E877" s="8" t="s">
        <v>3516</v>
      </c>
      <c r="F877" s="8" t="s">
        <v>1682</v>
      </c>
      <c r="G877" s="8" t="s">
        <v>43</v>
      </c>
      <c r="H877" s="8" t="s">
        <v>43</v>
      </c>
      <c r="I877" s="8" t="s">
        <v>361</v>
      </c>
      <c r="J877" s="8" t="s">
        <v>43</v>
      </c>
      <c r="K877" s="8" t="s">
        <v>3517</v>
      </c>
      <c r="L877" s="6"/>
      <c r="M877" s="7" t="s">
        <v>43</v>
      </c>
      <c r="N877" s="7"/>
      <c r="O877" s="7"/>
      <c r="P877" s="6" t="s">
        <v>72</v>
      </c>
      <c r="Q877" s="8" t="s">
        <v>3518</v>
      </c>
      <c r="R877" t="str">
        <f>HYPERLINK("https://docs.wto.org/imrd/directdoc.asp?DDFDocuments/t/G/SPS/NSAU604A1.docx", "https://docs.wto.org/imrd/directdoc.asp?DDFDocuments/t/G/SPS/NSAU604A1.docx")</f>
        <v>https://docs.wto.org/imrd/directdoc.asp?DDFDocuments/t/G/SPS/NSAU604A1.docx</v>
      </c>
      <c r="S877" t="str">
        <f>HYPERLINK("https://docs.wto.org/imrd/directdoc.asp?DDFDocuments/u/G/SPS/NSAU604A1.docx", "https://docs.wto.org/imrd/directdoc.asp?DDFDocuments/u/G/SPS/NSAU604A1.docx")</f>
        <v>https://docs.wto.org/imrd/directdoc.asp?DDFDocuments/u/G/SPS/NSAU604A1.docx</v>
      </c>
      <c r="T877" t="str">
        <f>HYPERLINK("https://docs.wto.org/imrd/directdoc.asp?DDFDocuments/v/G/SPS/NSAU604A1.docx", "https://docs.wto.org/imrd/directdoc.asp?DDFDocuments/v/G/SPS/NSAU604A1.docx")</f>
        <v>https://docs.wto.org/imrd/directdoc.asp?DDFDocuments/v/G/SPS/NSAU604A1.docx</v>
      </c>
      <c r="U877" t="s">
        <v>43</v>
      </c>
      <c r="V877" t="s">
        <v>43</v>
      </c>
      <c r="W877" t="s">
        <v>43</v>
      </c>
      <c r="X877" t="s">
        <v>43</v>
      </c>
      <c r="Y877" t="s">
        <v>43</v>
      </c>
      <c r="Z877" t="s">
        <v>43</v>
      </c>
      <c r="AA877" t="s">
        <v>43</v>
      </c>
      <c r="AB877" s="2" t="s">
        <v>43</v>
      </c>
      <c r="AC877" t="s">
        <v>43</v>
      </c>
      <c r="AD877" t="s">
        <v>43</v>
      </c>
      <c r="AE877" t="s">
        <v>43</v>
      </c>
      <c r="AF877" t="s">
        <v>43</v>
      </c>
      <c r="AG877" t="s">
        <v>43</v>
      </c>
      <c r="AH877" s="2" t="s">
        <v>43</v>
      </c>
    </row>
    <row r="878" spans="1:34" ht="225">
      <c r="A878" s="6" t="s">
        <v>158</v>
      </c>
      <c r="B878" s="7">
        <v>46055</v>
      </c>
      <c r="C878" s="9" t="str">
        <f>HYPERLINK("https://eping.wto.org/en/Search?viewData= G/TBT/N/UKR/369"," G/TBT/N/UKR/369")</f>
        <v xml:space="preserve"> G/TBT/N/UKR/369</v>
      </c>
      <c r="D878" s="8" t="s">
        <v>3519</v>
      </c>
      <c r="E878" s="8" t="s">
        <v>3520</v>
      </c>
      <c r="F878" s="8" t="s">
        <v>3440</v>
      </c>
      <c r="G878" s="8" t="s">
        <v>43</v>
      </c>
      <c r="H878" s="8" t="s">
        <v>43</v>
      </c>
      <c r="I878" s="8" t="s">
        <v>3521</v>
      </c>
      <c r="J878" s="8" t="s">
        <v>43</v>
      </c>
      <c r="K878" s="8" t="s">
        <v>749</v>
      </c>
      <c r="L878" s="6"/>
      <c r="M878" s="7">
        <v>46115</v>
      </c>
      <c r="N878" s="7">
        <v>46007</v>
      </c>
      <c r="O878" s="7">
        <v>46083</v>
      </c>
      <c r="P878" s="6" t="s">
        <v>62</v>
      </c>
      <c r="Q878" s="8" t="s">
        <v>3522</v>
      </c>
      <c r="R878" t="str">
        <f>HYPERLINK("https://docs.wto.org/imrd/directdoc.asp?DDFDocuments/t/G/TBTN26/UKR369.docx", "https://docs.wto.org/imrd/directdoc.asp?DDFDocuments/t/G/TBTN26/UKR369.docx")</f>
        <v>https://docs.wto.org/imrd/directdoc.asp?DDFDocuments/t/G/TBTN26/UKR369.docx</v>
      </c>
      <c r="S878" t="str">
        <f>HYPERLINK("https://docs.wto.org/imrd/directdoc.asp?DDFDocuments/u/G/TBTN26/UKR369.docx", "https://docs.wto.org/imrd/directdoc.asp?DDFDocuments/u/G/TBTN26/UKR369.docx")</f>
        <v>https://docs.wto.org/imrd/directdoc.asp?DDFDocuments/u/G/TBTN26/UKR369.docx</v>
      </c>
      <c r="T878" t="str">
        <f>HYPERLINK("https://docs.wto.org/imrd/directdoc.asp?DDFDocuments/v/G/TBTN26/UKR369.docx", "https://docs.wto.org/imrd/directdoc.asp?DDFDocuments/v/G/TBTN26/UKR369.docx")</f>
        <v>https://docs.wto.org/imrd/directdoc.asp?DDFDocuments/v/G/TBTN26/UKR369.docx</v>
      </c>
      <c r="U878" t="s">
        <v>64</v>
      </c>
      <c r="V878" t="s">
        <v>46</v>
      </c>
      <c r="W878" t="s">
        <v>64</v>
      </c>
      <c r="X878" t="s">
        <v>46</v>
      </c>
      <c r="Y878" t="s">
        <v>46</v>
      </c>
      <c r="Z878" t="s">
        <v>46</v>
      </c>
      <c r="AA878" t="s">
        <v>46</v>
      </c>
      <c r="AB878" s="2" t="s">
        <v>3523</v>
      </c>
      <c r="AC878" t="s">
        <v>43</v>
      </c>
      <c r="AD878" t="s">
        <v>43</v>
      </c>
      <c r="AE878" t="s">
        <v>43</v>
      </c>
      <c r="AF878" t="s">
        <v>43</v>
      </c>
      <c r="AG878" t="s">
        <v>43</v>
      </c>
      <c r="AH878" s="2" t="s">
        <v>43</v>
      </c>
    </row>
    <row r="879" spans="1:34" ht="180">
      <c r="A879" s="6" t="s">
        <v>2430</v>
      </c>
      <c r="B879" s="7">
        <v>46055</v>
      </c>
      <c r="C879" s="9" t="str">
        <f>HYPERLINK("https://eping.wto.org/en/Search?viewData= G/SPS/N/NIC/251"," G/SPS/N/NIC/251")</f>
        <v xml:space="preserve"> G/SPS/N/NIC/251</v>
      </c>
      <c r="D879" s="8" t="s">
        <v>3524</v>
      </c>
      <c r="E879" s="8" t="s">
        <v>3525</v>
      </c>
      <c r="F879" s="8" t="s">
        <v>3526</v>
      </c>
      <c r="G879" s="8" t="s">
        <v>43</v>
      </c>
      <c r="H879" s="8" t="s">
        <v>43</v>
      </c>
      <c r="I879" s="8" t="s">
        <v>2433</v>
      </c>
      <c r="J879" s="8" t="s">
        <v>43</v>
      </c>
      <c r="K879" s="8" t="s">
        <v>3332</v>
      </c>
      <c r="L879" s="6" t="s">
        <v>74</v>
      </c>
      <c r="M879" s="7">
        <v>46115</v>
      </c>
      <c r="N879" s="7" t="s">
        <v>79</v>
      </c>
      <c r="O879" s="7" t="s">
        <v>79</v>
      </c>
      <c r="P879" s="6" t="s">
        <v>62</v>
      </c>
      <c r="Q879" s="8" t="s">
        <v>3527</v>
      </c>
      <c r="R879" t="str">
        <f>HYPERLINK("https://docs.wto.org/imrd/directdoc.asp?DDFDocuments/t/G/SPS/NNIC251.docx", "https://docs.wto.org/imrd/directdoc.asp?DDFDocuments/t/G/SPS/NNIC251.docx")</f>
        <v>https://docs.wto.org/imrd/directdoc.asp?DDFDocuments/t/G/SPS/NNIC251.docx</v>
      </c>
      <c r="S879" t="str">
        <f>HYPERLINK("https://docs.wto.org/imrd/directdoc.asp?DDFDocuments/u/G/SPS/NNIC251.docx", "https://docs.wto.org/imrd/directdoc.asp?DDFDocuments/u/G/SPS/NNIC251.docx")</f>
        <v>https://docs.wto.org/imrd/directdoc.asp?DDFDocuments/u/G/SPS/NNIC251.docx</v>
      </c>
      <c r="T879" t="str">
        <f>HYPERLINK("https://docs.wto.org/imrd/directdoc.asp?DDFDocuments/v/G/SPS/NNIC251.docx", "https://docs.wto.org/imrd/directdoc.asp?DDFDocuments/v/G/SPS/NNIC251.docx")</f>
        <v>https://docs.wto.org/imrd/directdoc.asp?DDFDocuments/v/G/SPS/NNIC251.docx</v>
      </c>
      <c r="U879" t="s">
        <v>43</v>
      </c>
      <c r="V879" t="s">
        <v>43</v>
      </c>
      <c r="W879" t="s">
        <v>43</v>
      </c>
      <c r="X879" t="s">
        <v>43</v>
      </c>
      <c r="Y879" t="s">
        <v>43</v>
      </c>
      <c r="Z879" t="s">
        <v>43</v>
      </c>
      <c r="AA879" t="s">
        <v>43</v>
      </c>
      <c r="AB879" s="2" t="s">
        <v>43</v>
      </c>
      <c r="AC879" t="s">
        <v>46</v>
      </c>
      <c r="AD879" t="s">
        <v>46</v>
      </c>
      <c r="AE879" t="s">
        <v>46</v>
      </c>
      <c r="AF879" t="s">
        <v>64</v>
      </c>
      <c r="AG879" t="s">
        <v>99</v>
      </c>
      <c r="AH879" s="2" t="s">
        <v>43</v>
      </c>
    </row>
    <row r="880" spans="1:34" ht="409.5">
      <c r="A880" s="6" t="s">
        <v>82</v>
      </c>
      <c r="B880" s="7">
        <v>46055</v>
      </c>
      <c r="C880" s="9" t="str">
        <f>HYPERLINK("https://eping.wto.org/en/Search?viewData= G/SPS/N/JPN/1357/Add.1"," G/SPS/N/JPN/1357/Add.1")</f>
        <v xml:space="preserve"> G/SPS/N/JPN/1357/Add.1</v>
      </c>
      <c r="D880" s="8" t="s">
        <v>3423</v>
      </c>
      <c r="E880" s="8" t="s">
        <v>3528</v>
      </c>
      <c r="F880" s="8" t="s">
        <v>3529</v>
      </c>
      <c r="G880" s="8" t="s">
        <v>3530</v>
      </c>
      <c r="H880" s="8" t="s">
        <v>43</v>
      </c>
      <c r="I880" s="8" t="s">
        <v>58</v>
      </c>
      <c r="J880" s="8" t="s">
        <v>43</v>
      </c>
      <c r="K880" s="8" t="s">
        <v>3531</v>
      </c>
      <c r="L880" s="6"/>
      <c r="M880" s="7" t="s">
        <v>43</v>
      </c>
      <c r="N880" s="7"/>
      <c r="O880" s="7"/>
      <c r="P880" s="6" t="s">
        <v>44</v>
      </c>
      <c r="Q880" s="8" t="s">
        <v>3532</v>
      </c>
      <c r="R880" t="str">
        <f>HYPERLINK("https://docs.wto.org/imrd/directdoc.asp?DDFDocuments/t/G/SPS/NJPN1357A1.docx", "https://docs.wto.org/imrd/directdoc.asp?DDFDocuments/t/G/SPS/NJPN1357A1.docx")</f>
        <v>https://docs.wto.org/imrd/directdoc.asp?DDFDocuments/t/G/SPS/NJPN1357A1.docx</v>
      </c>
      <c r="S880" t="str">
        <f>HYPERLINK("https://docs.wto.org/imrd/directdoc.asp?DDFDocuments/u/G/SPS/NJPN1357A1.docx", "https://docs.wto.org/imrd/directdoc.asp?DDFDocuments/u/G/SPS/NJPN1357A1.docx")</f>
        <v>https://docs.wto.org/imrd/directdoc.asp?DDFDocuments/u/G/SPS/NJPN1357A1.docx</v>
      </c>
      <c r="T880" t="str">
        <f>HYPERLINK("https://docs.wto.org/imrd/directdoc.asp?DDFDocuments/v/G/SPS/NJPN1357A1.docx", "https://docs.wto.org/imrd/directdoc.asp?DDFDocuments/v/G/SPS/NJPN1357A1.docx")</f>
        <v>https://docs.wto.org/imrd/directdoc.asp?DDFDocuments/v/G/SPS/NJPN1357A1.docx</v>
      </c>
      <c r="U880" t="s">
        <v>43</v>
      </c>
      <c r="V880" t="s">
        <v>43</v>
      </c>
      <c r="W880" t="s">
        <v>43</v>
      </c>
      <c r="X880" t="s">
        <v>43</v>
      </c>
      <c r="Y880" t="s">
        <v>43</v>
      </c>
      <c r="Z880" t="s">
        <v>43</v>
      </c>
      <c r="AA880" t="s">
        <v>43</v>
      </c>
      <c r="AB880" s="2" t="s">
        <v>43</v>
      </c>
      <c r="AC880" t="s">
        <v>43</v>
      </c>
      <c r="AD880" t="s">
        <v>43</v>
      </c>
      <c r="AE880" t="s">
        <v>43</v>
      </c>
      <c r="AF880" t="s">
        <v>43</v>
      </c>
      <c r="AG880" t="s">
        <v>43</v>
      </c>
      <c r="AH880" s="2" t="s">
        <v>43</v>
      </c>
    </row>
    <row r="881" spans="1:34" ht="105">
      <c r="A881" s="6" t="s">
        <v>338</v>
      </c>
      <c r="B881" s="7">
        <v>46055</v>
      </c>
      <c r="C881" s="9" t="str">
        <f>HYPERLINK("https://eping.wto.org/en/Search?viewData= G/SPS/N/SAU/574/Add.1"," G/SPS/N/SAU/574/Add.1")</f>
        <v xml:space="preserve"> G/SPS/N/SAU/574/Add.1</v>
      </c>
      <c r="D881" s="8" t="s">
        <v>3533</v>
      </c>
      <c r="E881" s="8" t="s">
        <v>3534</v>
      </c>
      <c r="F881" s="8" t="s">
        <v>1682</v>
      </c>
      <c r="G881" s="8" t="s">
        <v>3535</v>
      </c>
      <c r="H881" s="8" t="s">
        <v>43</v>
      </c>
      <c r="I881" s="8" t="s">
        <v>361</v>
      </c>
      <c r="J881" s="8" t="s">
        <v>43</v>
      </c>
      <c r="K881" s="8" t="s">
        <v>3536</v>
      </c>
      <c r="L881" s="6"/>
      <c r="M881" s="7" t="s">
        <v>43</v>
      </c>
      <c r="N881" s="7"/>
      <c r="O881" s="7"/>
      <c r="P881" s="6" t="s">
        <v>72</v>
      </c>
      <c r="Q881" s="8" t="s">
        <v>3537</v>
      </c>
      <c r="R881" t="str">
        <f>HYPERLINK("https://docs.wto.org/imrd/directdoc.asp?DDFDocuments/t/G/SPS/NSAU574A1.docx", "https://docs.wto.org/imrd/directdoc.asp?DDFDocuments/t/G/SPS/NSAU574A1.docx")</f>
        <v>https://docs.wto.org/imrd/directdoc.asp?DDFDocuments/t/G/SPS/NSAU574A1.docx</v>
      </c>
      <c r="S881" t="str">
        <f>HYPERLINK("https://docs.wto.org/imrd/directdoc.asp?DDFDocuments/u/G/SPS/NSAU574A1.docx", "https://docs.wto.org/imrd/directdoc.asp?DDFDocuments/u/G/SPS/NSAU574A1.docx")</f>
        <v>https://docs.wto.org/imrd/directdoc.asp?DDFDocuments/u/G/SPS/NSAU574A1.docx</v>
      </c>
      <c r="T881" t="str">
        <f>HYPERLINK("https://docs.wto.org/imrd/directdoc.asp?DDFDocuments/v/G/SPS/NSAU574A1.docx", "https://docs.wto.org/imrd/directdoc.asp?DDFDocuments/v/G/SPS/NSAU574A1.docx")</f>
        <v>https://docs.wto.org/imrd/directdoc.asp?DDFDocuments/v/G/SPS/NSAU574A1.docx</v>
      </c>
      <c r="U881" t="s">
        <v>43</v>
      </c>
      <c r="V881" t="s">
        <v>43</v>
      </c>
      <c r="W881" t="s">
        <v>43</v>
      </c>
      <c r="X881" t="s">
        <v>43</v>
      </c>
      <c r="Y881" t="s">
        <v>43</v>
      </c>
      <c r="Z881" t="s">
        <v>43</v>
      </c>
      <c r="AA881" t="s">
        <v>43</v>
      </c>
      <c r="AB881" s="2" t="s">
        <v>43</v>
      </c>
      <c r="AC881" t="s">
        <v>43</v>
      </c>
      <c r="AD881" t="s">
        <v>43</v>
      </c>
      <c r="AE881" t="s">
        <v>43</v>
      </c>
      <c r="AF881" t="s">
        <v>43</v>
      </c>
      <c r="AG881" t="s">
        <v>43</v>
      </c>
      <c r="AH881" s="2" t="s">
        <v>43</v>
      </c>
    </row>
    <row r="882" spans="1:34" ht="60">
      <c r="A882" s="6" t="s">
        <v>3538</v>
      </c>
      <c r="B882" s="7">
        <v>46052</v>
      </c>
      <c r="C882" s="9" t="str">
        <f>HYPERLINK("https://eping.wto.org/en/Search?viewData= G/TBT/N/MWI/236"," G/TBT/N/MWI/236")</f>
        <v xml:space="preserve"> G/TBT/N/MWI/236</v>
      </c>
      <c r="D882" s="8" t="s">
        <v>3539</v>
      </c>
      <c r="E882" s="8" t="s">
        <v>3540</v>
      </c>
      <c r="F882" s="8" t="s">
        <v>3541</v>
      </c>
      <c r="G882" s="8" t="s">
        <v>3542</v>
      </c>
      <c r="H882" s="8" t="s">
        <v>3543</v>
      </c>
      <c r="I882" s="8" t="s">
        <v>3544</v>
      </c>
      <c r="J882" s="8" t="s">
        <v>43</v>
      </c>
      <c r="K882" s="8" t="s">
        <v>43</v>
      </c>
      <c r="L882" s="6"/>
      <c r="M882" s="7">
        <v>46112</v>
      </c>
      <c r="N882" s="7" t="s">
        <v>79</v>
      </c>
      <c r="O882" s="7" t="s">
        <v>79</v>
      </c>
      <c r="P882" s="6" t="s">
        <v>62</v>
      </c>
      <c r="Q882" s="8" t="s">
        <v>3545</v>
      </c>
      <c r="R882" t="str">
        <f>HYPERLINK("https://docs.wto.org/imrd/directdoc.asp?DDFDocuments/t/G/TBTN26/MWI236.docx", "https://docs.wto.org/imrd/directdoc.asp?DDFDocuments/t/G/TBTN26/MWI236.docx")</f>
        <v>https://docs.wto.org/imrd/directdoc.asp?DDFDocuments/t/G/TBTN26/MWI236.docx</v>
      </c>
      <c r="S882" t="str">
        <f>HYPERLINK("https://docs.wto.org/imrd/directdoc.asp?DDFDocuments/u/G/TBTN26/MWI236.docx", "https://docs.wto.org/imrd/directdoc.asp?DDFDocuments/u/G/TBTN26/MWI236.docx")</f>
        <v>https://docs.wto.org/imrd/directdoc.asp?DDFDocuments/u/G/TBTN26/MWI236.docx</v>
      </c>
      <c r="T882" t="str">
        <f>HYPERLINK("https://docs.wto.org/imrd/directdoc.asp?DDFDocuments/v/G/TBTN26/MWI236.docx", "https://docs.wto.org/imrd/directdoc.asp?DDFDocuments/v/G/TBTN26/MWI236.docx")</f>
        <v>https://docs.wto.org/imrd/directdoc.asp?DDFDocuments/v/G/TBTN26/MWI236.docx</v>
      </c>
      <c r="U882" t="s">
        <v>64</v>
      </c>
      <c r="V882" t="s">
        <v>46</v>
      </c>
      <c r="W882" t="s">
        <v>46</v>
      </c>
      <c r="X882" t="s">
        <v>46</v>
      </c>
      <c r="Y882" t="s">
        <v>46</v>
      </c>
      <c r="Z882" t="s">
        <v>46</v>
      </c>
      <c r="AA882" t="s">
        <v>46</v>
      </c>
      <c r="AB882" s="2" t="s">
        <v>3546</v>
      </c>
      <c r="AC882" t="s">
        <v>43</v>
      </c>
      <c r="AD882" t="s">
        <v>43</v>
      </c>
      <c r="AE882" t="s">
        <v>43</v>
      </c>
      <c r="AF882" t="s">
        <v>43</v>
      </c>
      <c r="AG882" t="s">
        <v>43</v>
      </c>
      <c r="AH882" s="2" t="s">
        <v>43</v>
      </c>
    </row>
    <row r="883" spans="1:34" ht="135">
      <c r="A883" s="6" t="s">
        <v>215</v>
      </c>
      <c r="B883" s="7">
        <v>46052</v>
      </c>
      <c r="C883" s="9" t="str">
        <f>HYPERLINK("https://eping.wto.org/en/Search?viewData= G/SPS/N/MYS/72"," G/SPS/N/MYS/72")</f>
        <v xml:space="preserve"> G/SPS/N/MYS/72</v>
      </c>
      <c r="D883" s="8" t="s">
        <v>572</v>
      </c>
      <c r="E883" s="8" t="s">
        <v>573</v>
      </c>
      <c r="F883" s="8" t="s">
        <v>3547</v>
      </c>
      <c r="G883" s="8" t="s">
        <v>43</v>
      </c>
      <c r="H883" s="8" t="s">
        <v>43</v>
      </c>
      <c r="I883" s="8" t="s">
        <v>104</v>
      </c>
      <c r="J883" s="8" t="s">
        <v>575</v>
      </c>
      <c r="K883" s="8" t="s">
        <v>749</v>
      </c>
      <c r="L883" s="6" t="s">
        <v>43</v>
      </c>
      <c r="M883" s="7">
        <v>46112</v>
      </c>
      <c r="N883" s="7">
        <v>46143</v>
      </c>
      <c r="O883" s="7">
        <v>46174</v>
      </c>
      <c r="P883" s="6" t="s">
        <v>62</v>
      </c>
      <c r="Q883" s="6"/>
      <c r="R883" t="str">
        <f>HYPERLINK("https://docs.wto.org/imrd/directdoc.asp?DDFDocuments/t/G/SPS/NMYS72.docx", "https://docs.wto.org/imrd/directdoc.asp?DDFDocuments/t/G/SPS/NMYS72.docx")</f>
        <v>https://docs.wto.org/imrd/directdoc.asp?DDFDocuments/t/G/SPS/NMYS72.docx</v>
      </c>
      <c r="S883" t="str">
        <f>HYPERLINK("https://docs.wto.org/imrd/directdoc.asp?DDFDocuments/u/G/SPS/NMYS72.docx", "https://docs.wto.org/imrd/directdoc.asp?DDFDocuments/u/G/SPS/NMYS72.docx")</f>
        <v>https://docs.wto.org/imrd/directdoc.asp?DDFDocuments/u/G/SPS/NMYS72.docx</v>
      </c>
      <c r="T883" t="str">
        <f>HYPERLINK("https://docs.wto.org/imrd/directdoc.asp?DDFDocuments/v/G/SPS/NMYS72.docx", "https://docs.wto.org/imrd/directdoc.asp?DDFDocuments/v/G/SPS/NMYS72.docx")</f>
        <v>https://docs.wto.org/imrd/directdoc.asp?DDFDocuments/v/G/SPS/NMYS72.docx</v>
      </c>
      <c r="U883" t="s">
        <v>43</v>
      </c>
      <c r="V883" t="s">
        <v>43</v>
      </c>
      <c r="W883" t="s">
        <v>43</v>
      </c>
      <c r="X883" t="s">
        <v>43</v>
      </c>
      <c r="Y883" t="s">
        <v>43</v>
      </c>
      <c r="Z883" t="s">
        <v>43</v>
      </c>
      <c r="AA883" t="s">
        <v>43</v>
      </c>
      <c r="AB883" s="2" t="s">
        <v>43</v>
      </c>
      <c r="AC883" t="s">
        <v>46</v>
      </c>
      <c r="AD883" t="s">
        <v>64</v>
      </c>
      <c r="AE883" t="s">
        <v>46</v>
      </c>
      <c r="AF883" t="s">
        <v>46</v>
      </c>
      <c r="AG883" t="s">
        <v>64</v>
      </c>
      <c r="AH883" s="2" t="s">
        <v>43</v>
      </c>
    </row>
    <row r="884" spans="1:34" ht="345">
      <c r="A884" s="6" t="s">
        <v>880</v>
      </c>
      <c r="B884" s="7">
        <v>46052</v>
      </c>
      <c r="C884" s="9" t="str">
        <f>HYPERLINK("https://eping.wto.org/en/Search?viewData= G/TBT/N/ECU/394/Rev.2"," G/TBT/N/ECU/394/Rev.2")</f>
        <v xml:space="preserve"> G/TBT/N/ECU/394/Rev.2</v>
      </c>
      <c r="D884" s="8" t="s">
        <v>3548</v>
      </c>
      <c r="E884" s="8" t="s">
        <v>3549</v>
      </c>
      <c r="F884" s="8" t="s">
        <v>3234</v>
      </c>
      <c r="G884" s="8" t="s">
        <v>3550</v>
      </c>
      <c r="H884" s="8" t="s">
        <v>43</v>
      </c>
      <c r="I884" s="8" t="s">
        <v>3236</v>
      </c>
      <c r="J884" s="8" t="s">
        <v>43</v>
      </c>
      <c r="K884" s="8" t="s">
        <v>43</v>
      </c>
      <c r="L884" s="6"/>
      <c r="M884" s="7">
        <v>46112</v>
      </c>
      <c r="N884" s="7">
        <v>46142</v>
      </c>
      <c r="O884" s="7">
        <v>46142</v>
      </c>
      <c r="P884" s="6" t="s">
        <v>138</v>
      </c>
      <c r="Q884" s="8" t="s">
        <v>3551</v>
      </c>
      <c r="R884" t="str">
        <f>HYPERLINK("https://docs.wto.org/imrd/directdoc.asp?DDFDocuments/t/G/TBTN19/ECU394R2.docx", "https://docs.wto.org/imrd/directdoc.asp?DDFDocuments/t/G/TBTN19/ECU394R2.docx")</f>
        <v>https://docs.wto.org/imrd/directdoc.asp?DDFDocuments/t/G/TBTN19/ECU394R2.docx</v>
      </c>
      <c r="S884" t="str">
        <f>HYPERLINK("https://docs.wto.org/imrd/directdoc.asp?DDFDocuments/u/G/TBTN19/ECU394R2.docx", "https://docs.wto.org/imrd/directdoc.asp?DDFDocuments/u/G/TBTN19/ECU394R2.docx")</f>
        <v>https://docs.wto.org/imrd/directdoc.asp?DDFDocuments/u/G/TBTN19/ECU394R2.docx</v>
      </c>
      <c r="T884" t="str">
        <f>HYPERLINK("https://docs.wto.org/imrd/directdoc.asp?DDFDocuments/v/G/TBTN19/ECU394R2.docx", "https://docs.wto.org/imrd/directdoc.asp?DDFDocuments/v/G/TBTN19/ECU394R2.docx")</f>
        <v>https://docs.wto.org/imrd/directdoc.asp?DDFDocuments/v/G/TBTN19/ECU394R2.docx</v>
      </c>
      <c r="U884" t="s">
        <v>64</v>
      </c>
      <c r="V884" t="s">
        <v>46</v>
      </c>
      <c r="W884" t="s">
        <v>46</v>
      </c>
      <c r="X884" t="s">
        <v>46</v>
      </c>
      <c r="Y884" t="s">
        <v>46</v>
      </c>
      <c r="Z884" t="s">
        <v>46</v>
      </c>
      <c r="AA884" t="s">
        <v>46</v>
      </c>
      <c r="AB884" s="2" t="s">
        <v>3552</v>
      </c>
      <c r="AC884" t="s">
        <v>43</v>
      </c>
      <c r="AD884" t="s">
        <v>43</v>
      </c>
      <c r="AE884" t="s">
        <v>43</v>
      </c>
      <c r="AF884" t="s">
        <v>43</v>
      </c>
      <c r="AG884" t="s">
        <v>43</v>
      </c>
      <c r="AH884" s="2" t="s">
        <v>43</v>
      </c>
    </row>
    <row r="885" spans="1:34" ht="255">
      <c r="A885" s="6" t="s">
        <v>132</v>
      </c>
      <c r="B885" s="7">
        <v>46052</v>
      </c>
      <c r="C885" s="9" t="str">
        <f>HYPERLINK("https://eping.wto.org/en/Search?viewData= G/TBT/N/USA/681/Add.9"," G/TBT/N/USA/681/Add.9")</f>
        <v xml:space="preserve"> G/TBT/N/USA/681/Add.9</v>
      </c>
      <c r="D885" s="8" t="s">
        <v>3553</v>
      </c>
      <c r="E885" s="8" t="s">
        <v>3554</v>
      </c>
      <c r="F885" s="8" t="s">
        <v>3555</v>
      </c>
      <c r="G885" s="8" t="s">
        <v>43</v>
      </c>
      <c r="H885" s="8" t="s">
        <v>819</v>
      </c>
      <c r="I885" s="8" t="s">
        <v>43</v>
      </c>
      <c r="J885" s="8" t="s">
        <v>3556</v>
      </c>
      <c r="K885" s="8" t="s">
        <v>43</v>
      </c>
      <c r="L885" s="6"/>
      <c r="M885" s="7" t="s">
        <v>43</v>
      </c>
      <c r="N885" s="7"/>
      <c r="O885" s="7"/>
      <c r="P885" s="6" t="s">
        <v>44</v>
      </c>
      <c r="Q885" s="8" t="s">
        <v>3557</v>
      </c>
      <c r="R885" t="str">
        <f>HYPERLINK("https://docs.wto.org/imrd/directdoc.asp?DDFDocuments/t/G/TBTN12/USA681A9.docx", "https://docs.wto.org/imrd/directdoc.asp?DDFDocuments/t/G/TBTN12/USA681A9.docx")</f>
        <v>https://docs.wto.org/imrd/directdoc.asp?DDFDocuments/t/G/TBTN12/USA681A9.docx</v>
      </c>
      <c r="S885" t="str">
        <f>HYPERLINK("https://docs.wto.org/imrd/directdoc.asp?DDFDocuments/u/G/TBTN12/USA681A9.docx", "https://docs.wto.org/imrd/directdoc.asp?DDFDocuments/u/G/TBTN12/USA681A9.docx")</f>
        <v>https://docs.wto.org/imrd/directdoc.asp?DDFDocuments/u/G/TBTN12/USA681A9.docx</v>
      </c>
      <c r="T885" t="str">
        <f>HYPERLINK("https://docs.wto.org/imrd/directdoc.asp?DDFDocuments/v/G/TBTN12/USA681A9.docx", "https://docs.wto.org/imrd/directdoc.asp?DDFDocuments/v/G/TBTN12/USA681A9.docx")</f>
        <v>https://docs.wto.org/imrd/directdoc.asp?DDFDocuments/v/G/TBTN12/USA681A9.docx</v>
      </c>
      <c r="U885" t="s">
        <v>64</v>
      </c>
      <c r="V885" t="s">
        <v>46</v>
      </c>
      <c r="W885" t="s">
        <v>46</v>
      </c>
      <c r="X885" t="s">
        <v>46</v>
      </c>
      <c r="Y885" t="s">
        <v>46</v>
      </c>
      <c r="Z885" t="s">
        <v>46</v>
      </c>
      <c r="AA885" t="s">
        <v>46</v>
      </c>
      <c r="AB885" s="2" t="s">
        <v>43</v>
      </c>
      <c r="AC885" t="s">
        <v>43</v>
      </c>
      <c r="AD885" t="s">
        <v>43</v>
      </c>
      <c r="AE885" t="s">
        <v>43</v>
      </c>
      <c r="AF885" t="s">
        <v>43</v>
      </c>
      <c r="AG885" t="s">
        <v>43</v>
      </c>
      <c r="AH885" s="2" t="s">
        <v>43</v>
      </c>
    </row>
    <row r="886" spans="1:34" ht="90">
      <c r="A886" s="6" t="s">
        <v>911</v>
      </c>
      <c r="B886" s="7">
        <v>46052</v>
      </c>
      <c r="C886" s="9" t="str">
        <f>HYPERLINK("https://eping.wto.org/en/Search?viewData= G/SPS/N/GTM/77"," G/SPS/N/GTM/77")</f>
        <v xml:space="preserve"> G/SPS/N/GTM/77</v>
      </c>
      <c r="D886" s="8" t="s">
        <v>3558</v>
      </c>
      <c r="E886" s="8" t="s">
        <v>3559</v>
      </c>
      <c r="F886" s="8" t="s">
        <v>3560</v>
      </c>
      <c r="G886" s="8" t="s">
        <v>3561</v>
      </c>
      <c r="H886" s="8" t="s">
        <v>43</v>
      </c>
      <c r="I886" s="8" t="s">
        <v>104</v>
      </c>
      <c r="J886" s="8" t="s">
        <v>43</v>
      </c>
      <c r="K886" s="8" t="s">
        <v>3562</v>
      </c>
      <c r="L886" s="6" t="s">
        <v>3563</v>
      </c>
      <c r="M886" s="7" t="s">
        <v>43</v>
      </c>
      <c r="N886" s="7"/>
      <c r="O886" s="7">
        <v>45996</v>
      </c>
      <c r="P886" s="6" t="s">
        <v>107</v>
      </c>
      <c r="Q886" s="8" t="s">
        <v>3564</v>
      </c>
      <c r="R886" t="str">
        <f>HYPERLINK("https://docs.wto.org/imrd/directdoc.asp?DDFDocuments/t/G/SPS/NGTM77.docx", "https://docs.wto.org/imrd/directdoc.asp?DDFDocuments/t/G/SPS/NGTM77.docx")</f>
        <v>https://docs.wto.org/imrd/directdoc.asp?DDFDocuments/t/G/SPS/NGTM77.docx</v>
      </c>
      <c r="S886" t="str">
        <f>HYPERLINK("https://docs.wto.org/imrd/directdoc.asp?DDFDocuments/u/G/SPS/NGTM77.docx", "https://docs.wto.org/imrd/directdoc.asp?DDFDocuments/u/G/SPS/NGTM77.docx")</f>
        <v>https://docs.wto.org/imrd/directdoc.asp?DDFDocuments/u/G/SPS/NGTM77.docx</v>
      </c>
      <c r="T886" t="str">
        <f>HYPERLINK("https://docs.wto.org/imrd/directdoc.asp?DDFDocuments/v/G/SPS/NGTM77.docx", "https://docs.wto.org/imrd/directdoc.asp?DDFDocuments/v/G/SPS/NGTM77.docx")</f>
        <v>https://docs.wto.org/imrd/directdoc.asp?DDFDocuments/v/G/SPS/NGTM77.docx</v>
      </c>
      <c r="U886" t="s">
        <v>43</v>
      </c>
      <c r="V886" t="s">
        <v>43</v>
      </c>
      <c r="W886" t="s">
        <v>43</v>
      </c>
      <c r="X886" t="s">
        <v>43</v>
      </c>
      <c r="Y886" t="s">
        <v>43</v>
      </c>
      <c r="Z886" t="s">
        <v>43</v>
      </c>
      <c r="AA886" t="s">
        <v>43</v>
      </c>
      <c r="AB886" s="2" t="s">
        <v>43</v>
      </c>
      <c r="AC886" t="s">
        <v>46</v>
      </c>
      <c r="AD886" t="s">
        <v>64</v>
      </c>
      <c r="AE886" t="s">
        <v>46</v>
      </c>
      <c r="AF886" t="s">
        <v>46</v>
      </c>
      <c r="AG886" t="s">
        <v>64</v>
      </c>
      <c r="AH886" s="2" t="s">
        <v>43</v>
      </c>
    </row>
    <row r="887" spans="1:34" ht="195">
      <c r="A887" s="6" t="s">
        <v>904</v>
      </c>
      <c r="B887" s="7">
        <v>46052</v>
      </c>
      <c r="C887" s="9" t="str">
        <f>HYPERLINK("https://eping.wto.org/en/Search?viewData= G/TBT/N/MEX/557"," G/TBT/N/MEX/557")</f>
        <v xml:space="preserve"> G/TBT/N/MEX/557</v>
      </c>
      <c r="D887" s="8" t="s">
        <v>3565</v>
      </c>
      <c r="E887" s="8" t="s">
        <v>3566</v>
      </c>
      <c r="F887" s="8" t="s">
        <v>3567</v>
      </c>
      <c r="G887" s="8" t="s">
        <v>43</v>
      </c>
      <c r="H887" s="8" t="s">
        <v>3568</v>
      </c>
      <c r="I887" s="8" t="s">
        <v>336</v>
      </c>
      <c r="J887" s="8" t="s">
        <v>43</v>
      </c>
      <c r="K887" s="8" t="s">
        <v>43</v>
      </c>
      <c r="L887" s="6"/>
      <c r="M887" s="7">
        <v>46112</v>
      </c>
      <c r="N887" s="7" t="s">
        <v>79</v>
      </c>
      <c r="O887" s="7" t="s">
        <v>79</v>
      </c>
      <c r="P887" s="6" t="s">
        <v>62</v>
      </c>
      <c r="Q887" s="8" t="s">
        <v>3569</v>
      </c>
      <c r="R887" t="str">
        <f>HYPERLINK("https://docs.wto.org/imrd/directdoc.asp?DDFDocuments/t/G/TBTN26/MEX557.docx", "https://docs.wto.org/imrd/directdoc.asp?DDFDocuments/t/G/TBTN26/MEX557.docx")</f>
        <v>https://docs.wto.org/imrd/directdoc.asp?DDFDocuments/t/G/TBTN26/MEX557.docx</v>
      </c>
      <c r="S887" t="str">
        <f>HYPERLINK("https://docs.wto.org/imrd/directdoc.asp?DDFDocuments/u/G/TBTN26/MEX557.docx", "https://docs.wto.org/imrd/directdoc.asp?DDFDocuments/u/G/TBTN26/MEX557.docx")</f>
        <v>https://docs.wto.org/imrd/directdoc.asp?DDFDocuments/u/G/TBTN26/MEX557.docx</v>
      </c>
      <c r="T887" t="str">
        <f>HYPERLINK("https://docs.wto.org/imrd/directdoc.asp?DDFDocuments/v/G/TBTN26/MEX557.docx", "https://docs.wto.org/imrd/directdoc.asp?DDFDocuments/v/G/TBTN26/MEX557.docx")</f>
        <v>https://docs.wto.org/imrd/directdoc.asp?DDFDocuments/v/G/TBTN26/MEX557.docx</v>
      </c>
      <c r="U887" t="s">
        <v>64</v>
      </c>
      <c r="V887" t="s">
        <v>46</v>
      </c>
      <c r="W887" t="s">
        <v>64</v>
      </c>
      <c r="X887" t="s">
        <v>46</v>
      </c>
      <c r="Y887" t="s">
        <v>46</v>
      </c>
      <c r="Z887" t="s">
        <v>46</v>
      </c>
      <c r="AA887" t="s">
        <v>46</v>
      </c>
      <c r="AB887" s="2" t="s">
        <v>3570</v>
      </c>
      <c r="AC887" t="s">
        <v>43</v>
      </c>
      <c r="AD887" t="s">
        <v>43</v>
      </c>
      <c r="AE887" t="s">
        <v>43</v>
      </c>
      <c r="AF887" t="s">
        <v>43</v>
      </c>
      <c r="AG887" t="s">
        <v>43</v>
      </c>
      <c r="AH887" s="2" t="s">
        <v>43</v>
      </c>
    </row>
    <row r="888" spans="1:34" ht="240">
      <c r="A888" s="6" t="s">
        <v>132</v>
      </c>
      <c r="B888" s="7">
        <v>46052</v>
      </c>
      <c r="C888" s="9" t="str">
        <f>HYPERLINK("https://eping.wto.org/en/Search?viewData= G/TBT/N/USA/1008/Rev.1/Add.1"," G/TBT/N/USA/1008/Rev.1/Add.1")</f>
        <v xml:space="preserve"> G/TBT/N/USA/1008/Rev.1/Add.1</v>
      </c>
      <c r="D888" s="8" t="s">
        <v>3571</v>
      </c>
      <c r="E888" s="8" t="s">
        <v>3572</v>
      </c>
      <c r="F888" s="8" t="s">
        <v>3573</v>
      </c>
      <c r="G888" s="8" t="s">
        <v>43</v>
      </c>
      <c r="H888" s="8" t="s">
        <v>819</v>
      </c>
      <c r="I888" s="8" t="s">
        <v>343</v>
      </c>
      <c r="J888" s="8" t="s">
        <v>43</v>
      </c>
      <c r="K888" s="8" t="s">
        <v>43</v>
      </c>
      <c r="L888" s="6"/>
      <c r="M888" s="7" t="s">
        <v>43</v>
      </c>
      <c r="N888" s="7"/>
      <c r="O888" s="7"/>
      <c r="P888" s="6" t="s">
        <v>44</v>
      </c>
      <c r="Q888" s="8" t="s">
        <v>3574</v>
      </c>
      <c r="R888" t="str">
        <f>HYPERLINK("https://docs.wto.org/imrd/directdoc.asp?DDFDocuments/t/G/TBTN15/USA1008R1A1.docx", "https://docs.wto.org/imrd/directdoc.asp?DDFDocuments/t/G/TBTN15/USA1008R1A1.docx")</f>
        <v>https://docs.wto.org/imrd/directdoc.asp?DDFDocuments/t/G/TBTN15/USA1008R1A1.docx</v>
      </c>
      <c r="S888" t="str">
        <f>HYPERLINK("https://docs.wto.org/imrd/directdoc.asp?DDFDocuments/u/G/TBTN15/USA1008R1A1.docx", "https://docs.wto.org/imrd/directdoc.asp?DDFDocuments/u/G/TBTN15/USA1008R1A1.docx")</f>
        <v>https://docs.wto.org/imrd/directdoc.asp?DDFDocuments/u/G/TBTN15/USA1008R1A1.docx</v>
      </c>
      <c r="T888" t="str">
        <f>HYPERLINK("https://docs.wto.org/imrd/directdoc.asp?DDFDocuments/v/G/TBTN15/USA1008R1A1.docx", "https://docs.wto.org/imrd/directdoc.asp?DDFDocuments/v/G/TBTN15/USA1008R1A1.docx")</f>
        <v>https://docs.wto.org/imrd/directdoc.asp?DDFDocuments/v/G/TBTN15/USA1008R1A1.docx</v>
      </c>
      <c r="U888" t="s">
        <v>46</v>
      </c>
      <c r="V888" t="s">
        <v>46</v>
      </c>
      <c r="W888" t="s">
        <v>46</v>
      </c>
      <c r="X888" t="s">
        <v>46</v>
      </c>
      <c r="Y888" t="s">
        <v>46</v>
      </c>
      <c r="Z888" t="s">
        <v>46</v>
      </c>
      <c r="AA888" t="s">
        <v>46</v>
      </c>
      <c r="AB888" s="2" t="s">
        <v>43</v>
      </c>
      <c r="AC888" t="s">
        <v>43</v>
      </c>
      <c r="AD888" t="s">
        <v>43</v>
      </c>
      <c r="AE888" t="s">
        <v>43</v>
      </c>
      <c r="AF888" t="s">
        <v>43</v>
      </c>
      <c r="AG888" t="s">
        <v>43</v>
      </c>
      <c r="AH888" s="2" t="s">
        <v>43</v>
      </c>
    </row>
    <row r="889" spans="1:34" ht="180">
      <c r="A889" s="6" t="s">
        <v>904</v>
      </c>
      <c r="B889" s="7">
        <v>46052</v>
      </c>
      <c r="C889" s="9" t="str">
        <f>HYPERLINK("https://eping.wto.org/en/Search?viewData= G/TBT/N/MEX/556"," G/TBT/N/MEX/556")</f>
        <v xml:space="preserve"> G/TBT/N/MEX/556</v>
      </c>
      <c r="D889" s="8" t="s">
        <v>3575</v>
      </c>
      <c r="E889" s="8" t="s">
        <v>3576</v>
      </c>
      <c r="F889" s="8" t="s">
        <v>3577</v>
      </c>
      <c r="G889" s="8" t="s">
        <v>43</v>
      </c>
      <c r="H889" s="8" t="s">
        <v>43</v>
      </c>
      <c r="I889" s="8" t="s">
        <v>275</v>
      </c>
      <c r="J889" s="8" t="s">
        <v>43</v>
      </c>
      <c r="K889" s="8" t="s">
        <v>3578</v>
      </c>
      <c r="L889" s="6"/>
      <c r="M889" s="7">
        <v>46112</v>
      </c>
      <c r="N889" s="7" t="s">
        <v>79</v>
      </c>
      <c r="O889" s="7" t="s">
        <v>79</v>
      </c>
      <c r="P889" s="6" t="s">
        <v>62</v>
      </c>
      <c r="Q889" s="8" t="s">
        <v>3579</v>
      </c>
      <c r="R889" t="str">
        <f>HYPERLINK("https://docs.wto.org/imrd/directdoc.asp?DDFDocuments/t/G/TBTN26/MEX556.docx", "https://docs.wto.org/imrd/directdoc.asp?DDFDocuments/t/G/TBTN26/MEX556.docx")</f>
        <v>https://docs.wto.org/imrd/directdoc.asp?DDFDocuments/t/G/TBTN26/MEX556.docx</v>
      </c>
      <c r="S889" t="str">
        <f>HYPERLINK("https://docs.wto.org/imrd/directdoc.asp?DDFDocuments/u/G/TBTN26/MEX556.docx", "https://docs.wto.org/imrd/directdoc.asp?DDFDocuments/u/G/TBTN26/MEX556.docx")</f>
        <v>https://docs.wto.org/imrd/directdoc.asp?DDFDocuments/u/G/TBTN26/MEX556.docx</v>
      </c>
      <c r="T889" t="str">
        <f>HYPERLINK("https://docs.wto.org/imrd/directdoc.asp?DDFDocuments/v/G/TBTN26/MEX556.docx", "https://docs.wto.org/imrd/directdoc.asp?DDFDocuments/v/G/TBTN26/MEX556.docx")</f>
        <v>https://docs.wto.org/imrd/directdoc.asp?DDFDocuments/v/G/TBTN26/MEX556.docx</v>
      </c>
      <c r="U889" t="s">
        <v>64</v>
      </c>
      <c r="V889" t="s">
        <v>46</v>
      </c>
      <c r="W889" t="s">
        <v>64</v>
      </c>
      <c r="X889" t="s">
        <v>46</v>
      </c>
      <c r="Y889" t="s">
        <v>46</v>
      </c>
      <c r="Z889" t="s">
        <v>46</v>
      </c>
      <c r="AA889" t="s">
        <v>46</v>
      </c>
      <c r="AB889" s="2" t="s">
        <v>3580</v>
      </c>
      <c r="AC889" t="s">
        <v>43</v>
      </c>
      <c r="AD889" t="s">
        <v>43</v>
      </c>
      <c r="AE889" t="s">
        <v>43</v>
      </c>
      <c r="AF889" t="s">
        <v>43</v>
      </c>
      <c r="AG889" t="s">
        <v>43</v>
      </c>
      <c r="AH889" s="2" t="s">
        <v>43</v>
      </c>
    </row>
    <row r="890" spans="1:34" ht="120">
      <c r="A890" s="6" t="s">
        <v>146</v>
      </c>
      <c r="B890" s="7">
        <v>46052</v>
      </c>
      <c r="C890" s="9" t="str">
        <f>HYPERLINK("https://eping.wto.org/en/Search?viewData= G/TBT/N/CHL/734/Add.1"," G/TBT/N/CHL/734/Add.1")</f>
        <v xml:space="preserve"> G/TBT/N/CHL/734/Add.1</v>
      </c>
      <c r="D890" s="8" t="s">
        <v>3581</v>
      </c>
      <c r="E890" s="8" t="s">
        <v>3582</v>
      </c>
      <c r="F890" s="8" t="s">
        <v>3583</v>
      </c>
      <c r="G890" s="8" t="s">
        <v>3584</v>
      </c>
      <c r="H890" s="8" t="s">
        <v>3585</v>
      </c>
      <c r="I890" s="8" t="s">
        <v>275</v>
      </c>
      <c r="J890" s="8" t="s">
        <v>43</v>
      </c>
      <c r="K890" s="8" t="s">
        <v>43</v>
      </c>
      <c r="L890" s="6"/>
      <c r="M890" s="7" t="s">
        <v>43</v>
      </c>
      <c r="N890" s="7"/>
      <c r="O890" s="7"/>
      <c r="P890" s="6" t="s">
        <v>44</v>
      </c>
      <c r="Q890" s="8" t="s">
        <v>3586</v>
      </c>
      <c r="R890" t="str">
        <f>HYPERLINK("https://docs.wto.org/imrd/directdoc.asp?DDFDocuments/t/G/TBTN25/CHL734A1.docx", "https://docs.wto.org/imrd/directdoc.asp?DDFDocuments/t/G/TBTN25/CHL734A1.docx")</f>
        <v>https://docs.wto.org/imrd/directdoc.asp?DDFDocuments/t/G/TBTN25/CHL734A1.docx</v>
      </c>
      <c r="S890" t="str">
        <f>HYPERLINK("https://docs.wto.org/imrd/directdoc.asp?DDFDocuments/u/G/TBTN25/CHL734A1.docx", "https://docs.wto.org/imrd/directdoc.asp?DDFDocuments/u/G/TBTN25/CHL734A1.docx")</f>
        <v>https://docs.wto.org/imrd/directdoc.asp?DDFDocuments/u/G/TBTN25/CHL734A1.docx</v>
      </c>
      <c r="T890" t="str">
        <f>HYPERLINK("https://docs.wto.org/imrd/directdoc.asp?DDFDocuments/v/G/TBTN25/CHL734A1.docx", "https://docs.wto.org/imrd/directdoc.asp?DDFDocuments/v/G/TBTN25/CHL734A1.docx")</f>
        <v>https://docs.wto.org/imrd/directdoc.asp?DDFDocuments/v/G/TBTN25/CHL734A1.docx</v>
      </c>
      <c r="U890" t="s">
        <v>46</v>
      </c>
      <c r="V890" t="s">
        <v>46</v>
      </c>
      <c r="W890" t="s">
        <v>64</v>
      </c>
      <c r="X890" t="s">
        <v>46</v>
      </c>
      <c r="Y890" t="s">
        <v>46</v>
      </c>
      <c r="Z890" t="s">
        <v>46</v>
      </c>
      <c r="AA890" t="s">
        <v>46</v>
      </c>
      <c r="AB890" s="2" t="s">
        <v>43</v>
      </c>
      <c r="AC890" t="s">
        <v>43</v>
      </c>
      <c r="AD890" t="s">
        <v>43</v>
      </c>
      <c r="AE890" t="s">
        <v>43</v>
      </c>
      <c r="AF890" t="s">
        <v>43</v>
      </c>
      <c r="AG890" t="s">
        <v>43</v>
      </c>
      <c r="AH890" s="2" t="s">
        <v>43</v>
      </c>
    </row>
    <row r="891" spans="1:34" ht="330">
      <c r="A891" s="6" t="s">
        <v>904</v>
      </c>
      <c r="B891" s="7">
        <v>46052</v>
      </c>
      <c r="C891" s="9" t="str">
        <f>HYPERLINK("https://eping.wto.org/en/Search?viewData= G/TBT/N/MEX/555"," G/TBT/N/MEX/555")</f>
        <v xml:space="preserve"> G/TBT/N/MEX/555</v>
      </c>
      <c r="D891" s="8" t="s">
        <v>3587</v>
      </c>
      <c r="E891" s="8" t="s">
        <v>3588</v>
      </c>
      <c r="F891" s="8" t="s">
        <v>3589</v>
      </c>
      <c r="G891" s="8" t="s">
        <v>43</v>
      </c>
      <c r="H891" s="8" t="s">
        <v>43</v>
      </c>
      <c r="I891" s="8" t="s">
        <v>275</v>
      </c>
      <c r="J891" s="8" t="s">
        <v>43</v>
      </c>
      <c r="K891" s="8" t="s">
        <v>350</v>
      </c>
      <c r="L891" s="6"/>
      <c r="M891" s="7">
        <v>46112</v>
      </c>
      <c r="N891" s="7" t="s">
        <v>79</v>
      </c>
      <c r="O891" s="7" t="s">
        <v>79</v>
      </c>
      <c r="P891" s="6" t="s">
        <v>62</v>
      </c>
      <c r="Q891" s="8" t="s">
        <v>3590</v>
      </c>
      <c r="R891" t="str">
        <f>HYPERLINK("https://docs.wto.org/imrd/directdoc.asp?DDFDocuments/t/G/TBTN26/MEX555.docx", "https://docs.wto.org/imrd/directdoc.asp?DDFDocuments/t/G/TBTN26/MEX555.docx")</f>
        <v>https://docs.wto.org/imrd/directdoc.asp?DDFDocuments/t/G/TBTN26/MEX555.docx</v>
      </c>
      <c r="S891" t="str">
        <f>HYPERLINK("https://docs.wto.org/imrd/directdoc.asp?DDFDocuments/u/G/TBTN26/MEX555.docx", "https://docs.wto.org/imrd/directdoc.asp?DDFDocuments/u/G/TBTN26/MEX555.docx")</f>
        <v>https://docs.wto.org/imrd/directdoc.asp?DDFDocuments/u/G/TBTN26/MEX555.docx</v>
      </c>
      <c r="T891" t="str">
        <f>HYPERLINK("https://docs.wto.org/imrd/directdoc.asp?DDFDocuments/v/G/TBTN26/MEX555.docx", "https://docs.wto.org/imrd/directdoc.asp?DDFDocuments/v/G/TBTN26/MEX555.docx")</f>
        <v>https://docs.wto.org/imrd/directdoc.asp?DDFDocuments/v/G/TBTN26/MEX555.docx</v>
      </c>
      <c r="U891" t="s">
        <v>64</v>
      </c>
      <c r="V891" t="s">
        <v>46</v>
      </c>
      <c r="W891" t="s">
        <v>64</v>
      </c>
      <c r="X891" t="s">
        <v>46</v>
      </c>
      <c r="Y891" t="s">
        <v>46</v>
      </c>
      <c r="Z891" t="s">
        <v>46</v>
      </c>
      <c r="AA891" t="s">
        <v>46</v>
      </c>
      <c r="AB891" s="2" t="s">
        <v>3591</v>
      </c>
      <c r="AC891" t="s">
        <v>43</v>
      </c>
      <c r="AD891" t="s">
        <v>43</v>
      </c>
      <c r="AE891" t="s">
        <v>43</v>
      </c>
      <c r="AF891" t="s">
        <v>43</v>
      </c>
      <c r="AG891" t="s">
        <v>43</v>
      </c>
      <c r="AH891" s="2" t="s">
        <v>43</v>
      </c>
    </row>
    <row r="892" spans="1:34" ht="150">
      <c r="A892" s="6" t="s">
        <v>904</v>
      </c>
      <c r="B892" s="7">
        <v>46052</v>
      </c>
      <c r="C892" s="9" t="str">
        <f>HYPERLINK("https://eping.wto.org/en/Search?viewData= G/TBT/N/MEX/554"," G/TBT/N/MEX/554")</f>
        <v xml:space="preserve"> G/TBT/N/MEX/554</v>
      </c>
      <c r="D892" s="8" t="s">
        <v>3592</v>
      </c>
      <c r="E892" s="8" t="s">
        <v>3593</v>
      </c>
      <c r="F892" s="8" t="s">
        <v>3594</v>
      </c>
      <c r="G892" s="8" t="s">
        <v>43</v>
      </c>
      <c r="H892" s="8" t="s">
        <v>43</v>
      </c>
      <c r="I892" s="8" t="s">
        <v>1114</v>
      </c>
      <c r="J892" s="8" t="s">
        <v>43</v>
      </c>
      <c r="K892" s="8" t="s">
        <v>350</v>
      </c>
      <c r="L892" s="6"/>
      <c r="M892" s="7">
        <v>46112</v>
      </c>
      <c r="N892" s="7" t="s">
        <v>79</v>
      </c>
      <c r="O892" s="7" t="s">
        <v>79</v>
      </c>
      <c r="P892" s="6" t="s">
        <v>62</v>
      </c>
      <c r="Q892" s="8" t="s">
        <v>3595</v>
      </c>
      <c r="R892" t="str">
        <f>HYPERLINK("https://docs.wto.org/imrd/directdoc.asp?DDFDocuments/t/G/TBTN26/MEX554.docx", "https://docs.wto.org/imrd/directdoc.asp?DDFDocuments/t/G/TBTN26/MEX554.docx")</f>
        <v>https://docs.wto.org/imrd/directdoc.asp?DDFDocuments/t/G/TBTN26/MEX554.docx</v>
      </c>
      <c r="S892" t="str">
        <f>HYPERLINK("https://docs.wto.org/imrd/directdoc.asp?DDFDocuments/u/G/TBTN26/MEX554.docx", "https://docs.wto.org/imrd/directdoc.asp?DDFDocuments/u/G/TBTN26/MEX554.docx")</f>
        <v>https://docs.wto.org/imrd/directdoc.asp?DDFDocuments/u/G/TBTN26/MEX554.docx</v>
      </c>
      <c r="T892" t="str">
        <f>HYPERLINK("https://docs.wto.org/imrd/directdoc.asp?DDFDocuments/v/G/TBTN26/MEX554.docx", "https://docs.wto.org/imrd/directdoc.asp?DDFDocuments/v/G/TBTN26/MEX554.docx")</f>
        <v>https://docs.wto.org/imrd/directdoc.asp?DDFDocuments/v/G/TBTN26/MEX554.docx</v>
      </c>
      <c r="U892" t="s">
        <v>64</v>
      </c>
      <c r="V892" t="s">
        <v>46</v>
      </c>
      <c r="W892" t="s">
        <v>64</v>
      </c>
      <c r="X892" t="s">
        <v>46</v>
      </c>
      <c r="Y892" t="s">
        <v>46</v>
      </c>
      <c r="Z892" t="s">
        <v>46</v>
      </c>
      <c r="AA892" t="s">
        <v>46</v>
      </c>
      <c r="AB892" s="2" t="s">
        <v>3596</v>
      </c>
      <c r="AC892" t="s">
        <v>43</v>
      </c>
      <c r="AD892" t="s">
        <v>43</v>
      </c>
      <c r="AE892" t="s">
        <v>43</v>
      </c>
      <c r="AF892" t="s">
        <v>43</v>
      </c>
      <c r="AG892" t="s">
        <v>43</v>
      </c>
      <c r="AH892" s="2" t="s">
        <v>43</v>
      </c>
    </row>
    <row r="893" spans="1:34" ht="90">
      <c r="A893" s="6" t="s">
        <v>1328</v>
      </c>
      <c r="B893" s="7">
        <v>46051</v>
      </c>
      <c r="C893" s="9" t="str">
        <f>HYPERLINK("https://eping.wto.org/en/Search?viewData= G/TBT/N/PHL/354"," G/TBT/N/PHL/354")</f>
        <v xml:space="preserve"> G/TBT/N/PHL/354</v>
      </c>
      <c r="D893" s="8" t="s">
        <v>3597</v>
      </c>
      <c r="E893" s="8" t="s">
        <v>3598</v>
      </c>
      <c r="F893" s="8" t="s">
        <v>1331</v>
      </c>
      <c r="G893" s="8" t="s">
        <v>43</v>
      </c>
      <c r="H893" s="8" t="s">
        <v>442</v>
      </c>
      <c r="I893" s="8" t="s">
        <v>275</v>
      </c>
      <c r="J893" s="8" t="s">
        <v>43</v>
      </c>
      <c r="K893" s="8" t="s">
        <v>350</v>
      </c>
      <c r="L893" s="6"/>
      <c r="M893" s="7">
        <v>46057</v>
      </c>
      <c r="N893" s="7" t="s">
        <v>2422</v>
      </c>
      <c r="O893" s="7" t="s">
        <v>3599</v>
      </c>
      <c r="P893" s="6" t="s">
        <v>62</v>
      </c>
      <c r="Q893" s="8" t="s">
        <v>3600</v>
      </c>
      <c r="R893" t="str">
        <f>HYPERLINK("https://docs.wto.org/imrd/directdoc.asp?DDFDocuments/t/G/TBTN26/PHL354.docx", "https://docs.wto.org/imrd/directdoc.asp?DDFDocuments/t/G/TBTN26/PHL354.docx")</f>
        <v>https://docs.wto.org/imrd/directdoc.asp?DDFDocuments/t/G/TBTN26/PHL354.docx</v>
      </c>
      <c r="S893" t="str">
        <f>HYPERLINK("https://docs.wto.org/imrd/directdoc.asp?DDFDocuments/u/G/TBTN26/PHL354.docx", "https://docs.wto.org/imrd/directdoc.asp?DDFDocuments/u/G/TBTN26/PHL354.docx")</f>
        <v>https://docs.wto.org/imrd/directdoc.asp?DDFDocuments/u/G/TBTN26/PHL354.docx</v>
      </c>
      <c r="T893" t="str">
        <f>HYPERLINK("https://docs.wto.org/imrd/directdoc.asp?DDFDocuments/v/G/TBTN26/PHL354.docx", "https://docs.wto.org/imrd/directdoc.asp?DDFDocuments/v/G/TBTN26/PHL354.docx")</f>
        <v>https://docs.wto.org/imrd/directdoc.asp?DDFDocuments/v/G/TBTN26/PHL354.docx</v>
      </c>
      <c r="U893" t="s">
        <v>46</v>
      </c>
      <c r="V893" t="s">
        <v>64</v>
      </c>
      <c r="W893" t="s">
        <v>46</v>
      </c>
      <c r="X893" t="s">
        <v>46</v>
      </c>
      <c r="Y893" t="s">
        <v>46</v>
      </c>
      <c r="Z893" t="s">
        <v>46</v>
      </c>
      <c r="AA893" t="s">
        <v>46</v>
      </c>
      <c r="AB893" s="2" t="s">
        <v>1333</v>
      </c>
      <c r="AC893" t="s">
        <v>43</v>
      </c>
      <c r="AD893" t="s">
        <v>43</v>
      </c>
      <c r="AE893" t="s">
        <v>43</v>
      </c>
      <c r="AF893" t="s">
        <v>43</v>
      </c>
      <c r="AG893" t="s">
        <v>43</v>
      </c>
      <c r="AH893" s="2" t="s">
        <v>43</v>
      </c>
    </row>
    <row r="894" spans="1:34" ht="90">
      <c r="A894" s="6" t="s">
        <v>356</v>
      </c>
      <c r="B894" s="7">
        <v>46051</v>
      </c>
      <c r="C894" s="9" t="str">
        <f>HYPERLINK("https://eping.wto.org/en/Search?viewData= G/TBT/N/EU/1187"," G/TBT/N/EU/1187")</f>
        <v xml:space="preserve"> G/TBT/N/EU/1187</v>
      </c>
      <c r="D894" s="8" t="s">
        <v>3601</v>
      </c>
      <c r="E894" s="8" t="s">
        <v>3602</v>
      </c>
      <c r="F894" s="8" t="s">
        <v>1572</v>
      </c>
      <c r="G894" s="8" t="s">
        <v>43</v>
      </c>
      <c r="H894" s="8" t="s">
        <v>43</v>
      </c>
      <c r="I894" s="8" t="s">
        <v>3603</v>
      </c>
      <c r="J894" s="8" t="s">
        <v>43</v>
      </c>
      <c r="K894" s="8" t="s">
        <v>43</v>
      </c>
      <c r="L894" s="6"/>
      <c r="M894" s="7">
        <v>46111</v>
      </c>
      <c r="N894" s="7" t="s">
        <v>3604</v>
      </c>
      <c r="O894" s="7" t="s">
        <v>1146</v>
      </c>
      <c r="P894" s="6" t="s">
        <v>62</v>
      </c>
      <c r="Q894" s="8" t="s">
        <v>3605</v>
      </c>
      <c r="R894" t="str">
        <f>HYPERLINK("https://docs.wto.org/imrd/directdoc.asp?DDFDocuments/t/G/TBTN26/EU1187.docx", "https://docs.wto.org/imrd/directdoc.asp?DDFDocuments/t/G/TBTN26/EU1187.docx")</f>
        <v>https://docs.wto.org/imrd/directdoc.asp?DDFDocuments/t/G/TBTN26/EU1187.docx</v>
      </c>
      <c r="S894" t="str">
        <f>HYPERLINK("https://docs.wto.org/imrd/directdoc.asp?DDFDocuments/u/G/TBTN26/EU1187.docx", "https://docs.wto.org/imrd/directdoc.asp?DDFDocuments/u/G/TBTN26/EU1187.docx")</f>
        <v>https://docs.wto.org/imrd/directdoc.asp?DDFDocuments/u/G/TBTN26/EU1187.docx</v>
      </c>
      <c r="T894" t="str">
        <f>HYPERLINK("https://docs.wto.org/imrd/directdoc.asp?DDFDocuments/v/G/TBTN26/EU1187.docx", "https://docs.wto.org/imrd/directdoc.asp?DDFDocuments/v/G/TBTN26/EU1187.docx")</f>
        <v>https://docs.wto.org/imrd/directdoc.asp?DDFDocuments/v/G/TBTN26/EU1187.docx</v>
      </c>
      <c r="U894" t="s">
        <v>64</v>
      </c>
      <c r="V894" t="s">
        <v>46</v>
      </c>
      <c r="W894" t="s">
        <v>46</v>
      </c>
      <c r="X894" t="s">
        <v>46</v>
      </c>
      <c r="Y894" t="s">
        <v>46</v>
      </c>
      <c r="Z894" t="s">
        <v>46</v>
      </c>
      <c r="AA894" t="s">
        <v>46</v>
      </c>
      <c r="AB894" s="2" t="s">
        <v>3606</v>
      </c>
      <c r="AC894" t="s">
        <v>43</v>
      </c>
      <c r="AD894" t="s">
        <v>43</v>
      </c>
      <c r="AE894" t="s">
        <v>43</v>
      </c>
      <c r="AF894" t="s">
        <v>43</v>
      </c>
      <c r="AG894" t="s">
        <v>43</v>
      </c>
      <c r="AH894" s="2" t="s">
        <v>43</v>
      </c>
    </row>
    <row r="895" spans="1:34" ht="135">
      <c r="A895" s="6" t="s">
        <v>356</v>
      </c>
      <c r="B895" s="7">
        <v>46051</v>
      </c>
      <c r="C895" s="9" t="str">
        <f>HYPERLINK("https://eping.wto.org/en/Search?viewData= G/TBT/N/EU/1188"," G/TBT/N/EU/1188")</f>
        <v xml:space="preserve"> G/TBT/N/EU/1188</v>
      </c>
      <c r="D895" s="8" t="s">
        <v>3607</v>
      </c>
      <c r="E895" s="8" t="s">
        <v>3608</v>
      </c>
      <c r="F895" s="8" t="s">
        <v>1572</v>
      </c>
      <c r="G895" s="8" t="s">
        <v>43</v>
      </c>
      <c r="H895" s="8" t="s">
        <v>43</v>
      </c>
      <c r="I895" s="8" t="s">
        <v>3603</v>
      </c>
      <c r="J895" s="8" t="s">
        <v>43</v>
      </c>
      <c r="K895" s="8" t="s">
        <v>43</v>
      </c>
      <c r="L895" s="6"/>
      <c r="M895" s="7">
        <v>46111</v>
      </c>
      <c r="N895" s="7" t="s">
        <v>3604</v>
      </c>
      <c r="O895" s="7" t="s">
        <v>1146</v>
      </c>
      <c r="P895" s="6" t="s">
        <v>62</v>
      </c>
      <c r="Q895" s="8" t="s">
        <v>3609</v>
      </c>
      <c r="R895" t="str">
        <f>HYPERLINK("https://docs.wto.org/imrd/directdoc.asp?DDFDocuments/t/G/TBTN26/EU1188.docx", "https://docs.wto.org/imrd/directdoc.asp?DDFDocuments/t/G/TBTN26/EU1188.docx")</f>
        <v>https://docs.wto.org/imrd/directdoc.asp?DDFDocuments/t/G/TBTN26/EU1188.docx</v>
      </c>
      <c r="S895" t="str">
        <f>HYPERLINK("https://docs.wto.org/imrd/directdoc.asp?DDFDocuments/u/G/TBTN26/EU1188.docx", "https://docs.wto.org/imrd/directdoc.asp?DDFDocuments/u/G/TBTN26/EU1188.docx")</f>
        <v>https://docs.wto.org/imrd/directdoc.asp?DDFDocuments/u/G/TBTN26/EU1188.docx</v>
      </c>
      <c r="T895" t="str">
        <f>HYPERLINK("https://docs.wto.org/imrd/directdoc.asp?DDFDocuments/v/G/TBTN26/EU1188.docx", "https://docs.wto.org/imrd/directdoc.asp?DDFDocuments/v/G/TBTN26/EU1188.docx")</f>
        <v>https://docs.wto.org/imrd/directdoc.asp?DDFDocuments/v/G/TBTN26/EU1188.docx</v>
      </c>
      <c r="U895" t="s">
        <v>64</v>
      </c>
      <c r="V895" t="s">
        <v>46</v>
      </c>
      <c r="W895" t="s">
        <v>46</v>
      </c>
      <c r="X895" t="s">
        <v>46</v>
      </c>
      <c r="Y895" t="s">
        <v>46</v>
      </c>
      <c r="Z895" t="s">
        <v>46</v>
      </c>
      <c r="AA895" t="s">
        <v>46</v>
      </c>
      <c r="AB895" s="2" t="s">
        <v>1578</v>
      </c>
      <c r="AC895" t="s">
        <v>43</v>
      </c>
      <c r="AD895" t="s">
        <v>43</v>
      </c>
      <c r="AE895" t="s">
        <v>43</v>
      </c>
      <c r="AF895" t="s">
        <v>43</v>
      </c>
      <c r="AG895" t="s">
        <v>43</v>
      </c>
      <c r="AH895" s="2" t="s">
        <v>43</v>
      </c>
    </row>
    <row r="896" spans="1:34" ht="165">
      <c r="A896" s="6" t="s">
        <v>2430</v>
      </c>
      <c r="B896" s="7">
        <v>46051</v>
      </c>
      <c r="C896" s="9" t="str">
        <f>HYPERLINK("https://eping.wto.org/en/Search?viewData= G/SPS/N/NIC/246"," G/SPS/N/NIC/246")</f>
        <v xml:space="preserve"> G/SPS/N/NIC/246</v>
      </c>
      <c r="D896" s="8" t="s">
        <v>3610</v>
      </c>
      <c r="E896" s="8" t="s">
        <v>3611</v>
      </c>
      <c r="F896" s="8" t="s">
        <v>3612</v>
      </c>
      <c r="G896" s="8" t="s">
        <v>43</v>
      </c>
      <c r="H896" s="8" t="s">
        <v>43</v>
      </c>
      <c r="I896" s="8" t="s">
        <v>2433</v>
      </c>
      <c r="J896" s="8" t="s">
        <v>43</v>
      </c>
      <c r="K896" s="8" t="s">
        <v>3332</v>
      </c>
      <c r="L896" s="6" t="s">
        <v>289</v>
      </c>
      <c r="M896" s="7">
        <v>46111</v>
      </c>
      <c r="N896" s="7" t="s">
        <v>79</v>
      </c>
      <c r="O896" s="7" t="s">
        <v>79</v>
      </c>
      <c r="P896" s="6" t="s">
        <v>62</v>
      </c>
      <c r="Q896" s="8" t="s">
        <v>3613</v>
      </c>
      <c r="R896" t="str">
        <f>HYPERLINK("https://docs.wto.org/imrd/directdoc.asp?DDFDocuments/t/G/SPS/NNIC246.docx", "https://docs.wto.org/imrd/directdoc.asp?DDFDocuments/t/G/SPS/NNIC246.docx")</f>
        <v>https://docs.wto.org/imrd/directdoc.asp?DDFDocuments/t/G/SPS/NNIC246.docx</v>
      </c>
      <c r="S896" t="str">
        <f>HYPERLINK("https://docs.wto.org/imrd/directdoc.asp?DDFDocuments/u/G/SPS/NNIC246.docx", "https://docs.wto.org/imrd/directdoc.asp?DDFDocuments/u/G/SPS/NNIC246.docx")</f>
        <v>https://docs.wto.org/imrd/directdoc.asp?DDFDocuments/u/G/SPS/NNIC246.docx</v>
      </c>
      <c r="T896" t="str">
        <f>HYPERLINK("https://docs.wto.org/imrd/directdoc.asp?DDFDocuments/v/G/SPS/NNIC246.docx", "https://docs.wto.org/imrd/directdoc.asp?DDFDocuments/v/G/SPS/NNIC246.docx")</f>
        <v>https://docs.wto.org/imrd/directdoc.asp?DDFDocuments/v/G/SPS/NNIC246.docx</v>
      </c>
      <c r="U896" t="s">
        <v>43</v>
      </c>
      <c r="V896" t="s">
        <v>43</v>
      </c>
      <c r="W896" t="s">
        <v>43</v>
      </c>
      <c r="X896" t="s">
        <v>43</v>
      </c>
      <c r="Y896" t="s">
        <v>43</v>
      </c>
      <c r="Z896" t="s">
        <v>43</v>
      </c>
      <c r="AA896" t="s">
        <v>43</v>
      </c>
      <c r="AB896" s="2" t="s">
        <v>43</v>
      </c>
      <c r="AC896" t="s">
        <v>46</v>
      </c>
      <c r="AD896" t="s">
        <v>46</v>
      </c>
      <c r="AE896" t="s">
        <v>46</v>
      </c>
      <c r="AF896" t="s">
        <v>64</v>
      </c>
      <c r="AG896" t="s">
        <v>99</v>
      </c>
      <c r="AH896" s="2" t="s">
        <v>43</v>
      </c>
    </row>
    <row r="897" spans="1:34" ht="409.5">
      <c r="A897" s="6" t="s">
        <v>356</v>
      </c>
      <c r="B897" s="7">
        <v>46051</v>
      </c>
      <c r="C897" s="9" t="str">
        <f>HYPERLINK("https://eping.wto.org/en/Search?viewData= G/TBT/N/EU/1186"," G/TBT/N/EU/1186")</f>
        <v xml:space="preserve"> G/TBT/N/EU/1186</v>
      </c>
      <c r="D897" s="8" t="s">
        <v>3614</v>
      </c>
      <c r="E897" s="8" t="s">
        <v>3615</v>
      </c>
      <c r="F897" s="8" t="s">
        <v>3616</v>
      </c>
      <c r="G897" s="8" t="s">
        <v>43</v>
      </c>
      <c r="H897" s="8" t="s">
        <v>43</v>
      </c>
      <c r="I897" s="8" t="s">
        <v>336</v>
      </c>
      <c r="J897" s="8" t="s">
        <v>3617</v>
      </c>
      <c r="K897" s="8" t="s">
        <v>43</v>
      </c>
      <c r="L897" s="6"/>
      <c r="M897" s="7">
        <v>46111</v>
      </c>
      <c r="N897" s="7" t="s">
        <v>1576</v>
      </c>
      <c r="O897" s="7" t="s">
        <v>3618</v>
      </c>
      <c r="P897" s="6" t="s">
        <v>62</v>
      </c>
      <c r="Q897" s="8" t="s">
        <v>3619</v>
      </c>
      <c r="R897" t="str">
        <f>HYPERLINK("https://docs.wto.org/imrd/directdoc.asp?DDFDocuments/t/G/TBTN26/EU1186.docx", "https://docs.wto.org/imrd/directdoc.asp?DDFDocuments/t/G/TBTN26/EU1186.docx")</f>
        <v>https://docs.wto.org/imrd/directdoc.asp?DDFDocuments/t/G/TBTN26/EU1186.docx</v>
      </c>
      <c r="S897" t="str">
        <f>HYPERLINK("https://docs.wto.org/imrd/directdoc.asp?DDFDocuments/u/G/TBTN26/EU1186.docx", "https://docs.wto.org/imrd/directdoc.asp?DDFDocuments/u/G/TBTN26/EU1186.docx")</f>
        <v>https://docs.wto.org/imrd/directdoc.asp?DDFDocuments/u/G/TBTN26/EU1186.docx</v>
      </c>
      <c r="T897" t="str">
        <f>HYPERLINK("https://docs.wto.org/imrd/directdoc.asp?DDFDocuments/v/G/TBTN26/EU1186.docx", "https://docs.wto.org/imrd/directdoc.asp?DDFDocuments/v/G/TBTN26/EU1186.docx")</f>
        <v>https://docs.wto.org/imrd/directdoc.asp?DDFDocuments/v/G/TBTN26/EU1186.docx</v>
      </c>
      <c r="U897" t="s">
        <v>64</v>
      </c>
      <c r="V897" t="s">
        <v>46</v>
      </c>
      <c r="W897" t="s">
        <v>46</v>
      </c>
      <c r="X897" t="s">
        <v>46</v>
      </c>
      <c r="Y897" t="s">
        <v>46</v>
      </c>
      <c r="Z897" t="s">
        <v>46</v>
      </c>
      <c r="AA897" t="s">
        <v>46</v>
      </c>
      <c r="AB897" s="2" t="s">
        <v>3620</v>
      </c>
      <c r="AC897" t="s">
        <v>43</v>
      </c>
      <c r="AD897" t="s">
        <v>43</v>
      </c>
      <c r="AE897" t="s">
        <v>43</v>
      </c>
      <c r="AF897" t="s">
        <v>43</v>
      </c>
      <c r="AG897" t="s">
        <v>43</v>
      </c>
      <c r="AH897" s="2" t="s">
        <v>43</v>
      </c>
    </row>
    <row r="898" spans="1:34" ht="270">
      <c r="A898" s="6" t="s">
        <v>1328</v>
      </c>
      <c r="B898" s="7">
        <v>46051</v>
      </c>
      <c r="C898" s="9" t="str">
        <f>HYPERLINK("https://eping.wto.org/en/Search?viewData= G/SPS/N/PHL/537"," G/SPS/N/PHL/537")</f>
        <v xml:space="preserve"> G/SPS/N/PHL/537</v>
      </c>
      <c r="D898" s="8" t="s">
        <v>3621</v>
      </c>
      <c r="E898" s="8" t="s">
        <v>3622</v>
      </c>
      <c r="F898" s="8" t="s">
        <v>3623</v>
      </c>
      <c r="G898" s="8" t="s">
        <v>3624</v>
      </c>
      <c r="H898" s="8" t="s">
        <v>1998</v>
      </c>
      <c r="I898" s="8" t="s">
        <v>104</v>
      </c>
      <c r="J898" s="8" t="s">
        <v>43</v>
      </c>
      <c r="K898" s="8" t="s">
        <v>530</v>
      </c>
      <c r="L898" s="6" t="s">
        <v>43</v>
      </c>
      <c r="M898" s="7" t="s">
        <v>43</v>
      </c>
      <c r="N898" s="7">
        <v>46082</v>
      </c>
      <c r="O898" s="7">
        <v>46023</v>
      </c>
      <c r="P898" s="6" t="s">
        <v>62</v>
      </c>
      <c r="Q898" s="8" t="s">
        <v>3625</v>
      </c>
      <c r="R898" t="str">
        <f>HYPERLINK("https://docs.wto.org/imrd/directdoc.asp?DDFDocuments/t/G/SPS/NPHL537.docx", "https://docs.wto.org/imrd/directdoc.asp?DDFDocuments/t/G/SPS/NPHL537.docx")</f>
        <v>https://docs.wto.org/imrd/directdoc.asp?DDFDocuments/t/G/SPS/NPHL537.docx</v>
      </c>
      <c r="S898" t="str">
        <f>HYPERLINK("https://docs.wto.org/imrd/directdoc.asp?DDFDocuments/u/G/SPS/NPHL537.docx", "https://docs.wto.org/imrd/directdoc.asp?DDFDocuments/u/G/SPS/NPHL537.docx")</f>
        <v>https://docs.wto.org/imrd/directdoc.asp?DDFDocuments/u/G/SPS/NPHL537.docx</v>
      </c>
      <c r="T898" t="str">
        <f>HYPERLINK("https://docs.wto.org/imrd/directdoc.asp?DDFDocuments/v/G/SPS/NPHL537.docx", "https://docs.wto.org/imrd/directdoc.asp?DDFDocuments/v/G/SPS/NPHL537.docx")</f>
        <v>https://docs.wto.org/imrd/directdoc.asp?DDFDocuments/v/G/SPS/NPHL537.docx</v>
      </c>
      <c r="U898" t="s">
        <v>43</v>
      </c>
      <c r="V898" t="s">
        <v>43</v>
      </c>
      <c r="W898" t="s">
        <v>43</v>
      </c>
      <c r="X898" t="s">
        <v>43</v>
      </c>
      <c r="Y898" t="s">
        <v>43</v>
      </c>
      <c r="Z898" t="s">
        <v>43</v>
      </c>
      <c r="AA898" t="s">
        <v>43</v>
      </c>
      <c r="AB898" s="2" t="s">
        <v>43</v>
      </c>
      <c r="AC898" t="s">
        <v>46</v>
      </c>
      <c r="AD898" t="s">
        <v>64</v>
      </c>
      <c r="AE898" t="s">
        <v>46</v>
      </c>
      <c r="AF898" t="s">
        <v>46</v>
      </c>
      <c r="AG898" t="s">
        <v>64</v>
      </c>
      <c r="AH898" s="2" t="s">
        <v>43</v>
      </c>
    </row>
    <row r="899" spans="1:34" ht="75">
      <c r="A899" s="6" t="s">
        <v>74</v>
      </c>
      <c r="B899" s="7">
        <v>46051</v>
      </c>
      <c r="C899" s="9" t="str">
        <f>HYPERLINK("https://eping.wto.org/en/Search?viewData= G/TBT/N/IND/427"," G/TBT/N/IND/427")</f>
        <v xml:space="preserve"> G/TBT/N/IND/427</v>
      </c>
      <c r="D899" s="8" t="s">
        <v>3626</v>
      </c>
      <c r="E899" s="8" t="s">
        <v>3627</v>
      </c>
      <c r="F899" s="8" t="s">
        <v>77</v>
      </c>
      <c r="G899" s="8" t="s">
        <v>43</v>
      </c>
      <c r="H899" s="8" t="s">
        <v>43</v>
      </c>
      <c r="I899" s="8" t="s">
        <v>52</v>
      </c>
      <c r="J899" s="8" t="s">
        <v>3628</v>
      </c>
      <c r="K899" s="8" t="s">
        <v>43</v>
      </c>
      <c r="L899" s="6"/>
      <c r="M899" s="7">
        <v>46111</v>
      </c>
      <c r="N899" s="7" t="s">
        <v>79</v>
      </c>
      <c r="O899" s="7" t="s">
        <v>79</v>
      </c>
      <c r="P899" s="6" t="s">
        <v>62</v>
      </c>
      <c r="Q899" s="8" t="s">
        <v>3629</v>
      </c>
      <c r="R899" t="str">
        <f>HYPERLINK("https://docs.wto.org/imrd/directdoc.asp?DDFDocuments/t/G/TBTN26/IND427.docx", "https://docs.wto.org/imrd/directdoc.asp?DDFDocuments/t/G/TBTN26/IND427.docx")</f>
        <v>https://docs.wto.org/imrd/directdoc.asp?DDFDocuments/t/G/TBTN26/IND427.docx</v>
      </c>
      <c r="S899" t="str">
        <f>HYPERLINK("https://docs.wto.org/imrd/directdoc.asp?DDFDocuments/u/G/TBTN26/IND427.docx", "https://docs.wto.org/imrd/directdoc.asp?DDFDocuments/u/G/TBTN26/IND427.docx")</f>
        <v>https://docs.wto.org/imrd/directdoc.asp?DDFDocuments/u/G/TBTN26/IND427.docx</v>
      </c>
      <c r="T899" t="str">
        <f>HYPERLINK("https://docs.wto.org/imrd/directdoc.asp?DDFDocuments/v/G/TBTN26/IND427.docx", "https://docs.wto.org/imrd/directdoc.asp?DDFDocuments/v/G/TBTN26/IND427.docx")</f>
        <v>https://docs.wto.org/imrd/directdoc.asp?DDFDocuments/v/G/TBTN26/IND427.docx</v>
      </c>
      <c r="U899" t="s">
        <v>64</v>
      </c>
      <c r="V899" t="s">
        <v>46</v>
      </c>
      <c r="W899" t="s">
        <v>46</v>
      </c>
      <c r="X899" t="s">
        <v>46</v>
      </c>
      <c r="Y899" t="s">
        <v>46</v>
      </c>
      <c r="Z899" t="s">
        <v>46</v>
      </c>
      <c r="AA899" t="s">
        <v>46</v>
      </c>
      <c r="AB899" s="2" t="s">
        <v>43</v>
      </c>
      <c r="AC899" t="s">
        <v>43</v>
      </c>
      <c r="AD899" t="s">
        <v>43</v>
      </c>
      <c r="AE899" t="s">
        <v>43</v>
      </c>
      <c r="AF899" t="s">
        <v>43</v>
      </c>
      <c r="AG899" t="s">
        <v>43</v>
      </c>
      <c r="AH899" s="2" t="s">
        <v>43</v>
      </c>
    </row>
    <row r="900" spans="1:34" ht="150">
      <c r="A900" s="6" t="s">
        <v>2430</v>
      </c>
      <c r="B900" s="7">
        <v>46051</v>
      </c>
      <c r="C900" s="9" t="str">
        <f>HYPERLINK("https://eping.wto.org/en/Search?viewData= G/SPS/N/NIC/248"," G/SPS/N/NIC/248")</f>
        <v xml:space="preserve"> G/SPS/N/NIC/248</v>
      </c>
      <c r="D900" s="8" t="s">
        <v>3630</v>
      </c>
      <c r="E900" s="8" t="s">
        <v>3631</v>
      </c>
      <c r="F900" s="8" t="s">
        <v>3632</v>
      </c>
      <c r="G900" s="8" t="s">
        <v>43</v>
      </c>
      <c r="H900" s="8" t="s">
        <v>43</v>
      </c>
      <c r="I900" s="8" t="s">
        <v>2433</v>
      </c>
      <c r="J900" s="8" t="s">
        <v>43</v>
      </c>
      <c r="K900" s="8" t="s">
        <v>95</v>
      </c>
      <c r="L900" s="6" t="s">
        <v>146</v>
      </c>
      <c r="M900" s="7">
        <v>46111</v>
      </c>
      <c r="N900" s="7" t="s">
        <v>79</v>
      </c>
      <c r="O900" s="7" t="s">
        <v>79</v>
      </c>
      <c r="P900" s="6" t="s">
        <v>62</v>
      </c>
      <c r="Q900" s="8" t="s">
        <v>3633</v>
      </c>
      <c r="R900" t="str">
        <f>HYPERLINK("https://docs.wto.org/imrd/directdoc.asp?DDFDocuments/t/G/SPS/NNIC248.docx", "https://docs.wto.org/imrd/directdoc.asp?DDFDocuments/t/G/SPS/NNIC248.docx")</f>
        <v>https://docs.wto.org/imrd/directdoc.asp?DDFDocuments/t/G/SPS/NNIC248.docx</v>
      </c>
      <c r="S900" t="str">
        <f>HYPERLINK("https://docs.wto.org/imrd/directdoc.asp?DDFDocuments/u/G/SPS/NNIC248.docx", "https://docs.wto.org/imrd/directdoc.asp?DDFDocuments/u/G/SPS/NNIC248.docx")</f>
        <v>https://docs.wto.org/imrd/directdoc.asp?DDFDocuments/u/G/SPS/NNIC248.docx</v>
      </c>
      <c r="T900" t="str">
        <f>HYPERLINK("https://docs.wto.org/imrd/directdoc.asp?DDFDocuments/v/G/SPS/NNIC248.docx", "https://docs.wto.org/imrd/directdoc.asp?DDFDocuments/v/G/SPS/NNIC248.docx")</f>
        <v>https://docs.wto.org/imrd/directdoc.asp?DDFDocuments/v/G/SPS/NNIC248.docx</v>
      </c>
      <c r="U900" t="s">
        <v>43</v>
      </c>
      <c r="V900" t="s">
        <v>43</v>
      </c>
      <c r="W900" t="s">
        <v>43</v>
      </c>
      <c r="X900" t="s">
        <v>43</v>
      </c>
      <c r="Y900" t="s">
        <v>43</v>
      </c>
      <c r="Z900" t="s">
        <v>43</v>
      </c>
      <c r="AA900" t="s">
        <v>43</v>
      </c>
      <c r="AB900" s="2" t="s">
        <v>43</v>
      </c>
      <c r="AC900" t="s">
        <v>46</v>
      </c>
      <c r="AD900" t="s">
        <v>46</v>
      </c>
      <c r="AE900" t="s">
        <v>46</v>
      </c>
      <c r="AF900" t="s">
        <v>64</v>
      </c>
      <c r="AG900" t="s">
        <v>99</v>
      </c>
      <c r="AH900" s="2" t="s">
        <v>43</v>
      </c>
    </row>
    <row r="901" spans="1:34" ht="255">
      <c r="A901" s="6" t="s">
        <v>132</v>
      </c>
      <c r="B901" s="7">
        <v>46051</v>
      </c>
      <c r="C901" s="9" t="str">
        <f>HYPERLINK("https://eping.wto.org/en/Search?viewData= G/TBT/N/USA/2232/Add.2"," G/TBT/N/USA/2232/Add.2")</f>
        <v xml:space="preserve"> G/TBT/N/USA/2232/Add.2</v>
      </c>
      <c r="D901" s="8" t="s">
        <v>3634</v>
      </c>
      <c r="E901" s="8" t="s">
        <v>3635</v>
      </c>
      <c r="F901" s="8" t="s">
        <v>2927</v>
      </c>
      <c r="G901" s="8" t="s">
        <v>43</v>
      </c>
      <c r="H901" s="8" t="s">
        <v>2928</v>
      </c>
      <c r="I901" s="8" t="s">
        <v>2929</v>
      </c>
      <c r="J901" s="8" t="s">
        <v>43</v>
      </c>
      <c r="K901" s="8" t="s">
        <v>43</v>
      </c>
      <c r="L901" s="6"/>
      <c r="M901" s="7">
        <v>46064</v>
      </c>
      <c r="N901" s="7"/>
      <c r="O901" s="7"/>
      <c r="P901" s="6" t="s">
        <v>44</v>
      </c>
      <c r="Q901" s="6"/>
      <c r="R901" t="str">
        <f>HYPERLINK("https://docs.wto.org/imrd/directdoc.asp?DDFDocuments/t/G/TBTN25/USA2232A2.docx", "https://docs.wto.org/imrd/directdoc.asp?DDFDocuments/t/G/TBTN25/USA2232A2.docx")</f>
        <v>https://docs.wto.org/imrd/directdoc.asp?DDFDocuments/t/G/TBTN25/USA2232A2.docx</v>
      </c>
      <c r="S901" t="str">
        <f>HYPERLINK("https://docs.wto.org/imrd/directdoc.asp?DDFDocuments/u/G/TBTN25/USA2232A2.docx", "https://docs.wto.org/imrd/directdoc.asp?DDFDocuments/u/G/TBTN25/USA2232A2.docx")</f>
        <v>https://docs.wto.org/imrd/directdoc.asp?DDFDocuments/u/G/TBTN25/USA2232A2.docx</v>
      </c>
      <c r="T901" t="str">
        <f>HYPERLINK("https://docs.wto.org/imrd/directdoc.asp?DDFDocuments/v/G/TBTN25/USA2232A2.docx", "https://docs.wto.org/imrd/directdoc.asp?DDFDocuments/v/G/TBTN25/USA2232A2.docx")</f>
        <v>https://docs.wto.org/imrd/directdoc.asp?DDFDocuments/v/G/TBTN25/USA2232A2.docx</v>
      </c>
      <c r="U901" t="s">
        <v>46</v>
      </c>
      <c r="V901" t="s">
        <v>46</v>
      </c>
      <c r="W901" t="s">
        <v>46</v>
      </c>
      <c r="X901" t="s">
        <v>46</v>
      </c>
      <c r="Y901" t="s">
        <v>46</v>
      </c>
      <c r="Z901" t="s">
        <v>46</v>
      </c>
      <c r="AA901" t="s">
        <v>46</v>
      </c>
      <c r="AB901" s="2" t="s">
        <v>43</v>
      </c>
      <c r="AC901" t="s">
        <v>43</v>
      </c>
      <c r="AD901" t="s">
        <v>43</v>
      </c>
      <c r="AE901" t="s">
        <v>43</v>
      </c>
      <c r="AF901" t="s">
        <v>43</v>
      </c>
      <c r="AG901" t="s">
        <v>43</v>
      </c>
      <c r="AH901" s="2" t="s">
        <v>43</v>
      </c>
    </row>
    <row r="902" spans="1:34" ht="165">
      <c r="A902" s="6" t="s">
        <v>2430</v>
      </c>
      <c r="B902" s="7">
        <v>46051</v>
      </c>
      <c r="C902" s="9" t="str">
        <f>HYPERLINK("https://eping.wto.org/en/Search?viewData= G/SPS/N/NIC/247"," G/SPS/N/NIC/247")</f>
        <v xml:space="preserve"> G/SPS/N/NIC/247</v>
      </c>
      <c r="D902" s="8" t="s">
        <v>3636</v>
      </c>
      <c r="E902" s="8" t="s">
        <v>3637</v>
      </c>
      <c r="F902" s="8" t="s">
        <v>2432</v>
      </c>
      <c r="G902" s="8" t="s">
        <v>43</v>
      </c>
      <c r="H902" s="8" t="s">
        <v>43</v>
      </c>
      <c r="I902" s="8" t="s">
        <v>2433</v>
      </c>
      <c r="J902" s="8" t="s">
        <v>43</v>
      </c>
      <c r="K902" s="8" t="s">
        <v>95</v>
      </c>
      <c r="L902" s="6" t="s">
        <v>89</v>
      </c>
      <c r="M902" s="7">
        <v>46111</v>
      </c>
      <c r="N902" s="7" t="s">
        <v>79</v>
      </c>
      <c r="O902" s="7" t="s">
        <v>79</v>
      </c>
      <c r="P902" s="6" t="s">
        <v>62</v>
      </c>
      <c r="Q902" s="8" t="s">
        <v>3638</v>
      </c>
      <c r="R902" t="str">
        <f>HYPERLINK("https://docs.wto.org/imrd/directdoc.asp?DDFDocuments/t/G/SPS/NNIC247.docx", "https://docs.wto.org/imrd/directdoc.asp?DDFDocuments/t/G/SPS/NNIC247.docx")</f>
        <v>https://docs.wto.org/imrd/directdoc.asp?DDFDocuments/t/G/SPS/NNIC247.docx</v>
      </c>
      <c r="S902" t="str">
        <f>HYPERLINK("https://docs.wto.org/imrd/directdoc.asp?DDFDocuments/u/G/SPS/NNIC247.docx", "https://docs.wto.org/imrd/directdoc.asp?DDFDocuments/u/G/SPS/NNIC247.docx")</f>
        <v>https://docs.wto.org/imrd/directdoc.asp?DDFDocuments/u/G/SPS/NNIC247.docx</v>
      </c>
      <c r="T902" t="str">
        <f>HYPERLINK("https://docs.wto.org/imrd/directdoc.asp?DDFDocuments/v/G/SPS/NNIC247.docx", "https://docs.wto.org/imrd/directdoc.asp?DDFDocuments/v/G/SPS/NNIC247.docx")</f>
        <v>https://docs.wto.org/imrd/directdoc.asp?DDFDocuments/v/G/SPS/NNIC247.docx</v>
      </c>
      <c r="U902" t="s">
        <v>43</v>
      </c>
      <c r="V902" t="s">
        <v>43</v>
      </c>
      <c r="W902" t="s">
        <v>43</v>
      </c>
      <c r="X902" t="s">
        <v>43</v>
      </c>
      <c r="Y902" t="s">
        <v>43</v>
      </c>
      <c r="Z902" t="s">
        <v>43</v>
      </c>
      <c r="AA902" t="s">
        <v>43</v>
      </c>
      <c r="AB902" s="2" t="s">
        <v>43</v>
      </c>
      <c r="AC902" t="s">
        <v>46</v>
      </c>
      <c r="AD902" t="s">
        <v>46</v>
      </c>
      <c r="AE902" t="s">
        <v>46</v>
      </c>
      <c r="AF902" t="s">
        <v>64</v>
      </c>
      <c r="AG902" t="s">
        <v>99</v>
      </c>
      <c r="AH902" s="2" t="s">
        <v>43</v>
      </c>
    </row>
    <row r="903" spans="1:34" ht="45">
      <c r="A903" s="6" t="s">
        <v>1328</v>
      </c>
      <c r="B903" s="7">
        <v>46051</v>
      </c>
      <c r="C903" s="9" t="str">
        <f>HYPERLINK("https://eping.wto.org/en/Search?viewData= G/SPS/N/PHL/538"," G/SPS/N/PHL/538")</f>
        <v xml:space="preserve"> G/SPS/N/PHL/538</v>
      </c>
      <c r="D903" s="8" t="s">
        <v>3639</v>
      </c>
      <c r="E903" s="8" t="s">
        <v>3640</v>
      </c>
      <c r="F903" s="8" t="s">
        <v>3641</v>
      </c>
      <c r="G903" s="8" t="s">
        <v>3642</v>
      </c>
      <c r="H903" s="8" t="s">
        <v>1998</v>
      </c>
      <c r="I903" s="8" t="s">
        <v>58</v>
      </c>
      <c r="J903" s="8" t="s">
        <v>43</v>
      </c>
      <c r="K903" s="8" t="s">
        <v>310</v>
      </c>
      <c r="L903" s="6" t="s">
        <v>43</v>
      </c>
      <c r="M903" s="7" t="s">
        <v>43</v>
      </c>
      <c r="N903" s="7">
        <v>45846</v>
      </c>
      <c r="O903" s="7">
        <v>46118</v>
      </c>
      <c r="P903" s="6" t="s">
        <v>62</v>
      </c>
      <c r="Q903" s="8" t="s">
        <v>3643</v>
      </c>
      <c r="R903" t="str">
        <f>HYPERLINK("https://docs.wto.org/imrd/directdoc.asp?DDFDocuments/t/G/SPS/NPHL538.docx", "https://docs.wto.org/imrd/directdoc.asp?DDFDocuments/t/G/SPS/NPHL538.docx")</f>
        <v>https://docs.wto.org/imrd/directdoc.asp?DDFDocuments/t/G/SPS/NPHL538.docx</v>
      </c>
      <c r="S903" t="str">
        <f>HYPERLINK("https://docs.wto.org/imrd/directdoc.asp?DDFDocuments/u/G/SPS/NPHL538.docx", "https://docs.wto.org/imrd/directdoc.asp?DDFDocuments/u/G/SPS/NPHL538.docx")</f>
        <v>https://docs.wto.org/imrd/directdoc.asp?DDFDocuments/u/G/SPS/NPHL538.docx</v>
      </c>
      <c r="T903" t="str">
        <f>HYPERLINK("https://docs.wto.org/imrd/directdoc.asp?DDFDocuments/v/G/SPS/NPHL538.docx", "https://docs.wto.org/imrd/directdoc.asp?DDFDocuments/v/G/SPS/NPHL538.docx")</f>
        <v>https://docs.wto.org/imrd/directdoc.asp?DDFDocuments/v/G/SPS/NPHL538.docx</v>
      </c>
      <c r="U903" t="s">
        <v>43</v>
      </c>
      <c r="V903" t="s">
        <v>43</v>
      </c>
      <c r="W903" t="s">
        <v>43</v>
      </c>
      <c r="X903" t="s">
        <v>43</v>
      </c>
      <c r="Y903" t="s">
        <v>43</v>
      </c>
      <c r="Z903" t="s">
        <v>43</v>
      </c>
      <c r="AA903" t="s">
        <v>43</v>
      </c>
      <c r="AB903" s="2" t="s">
        <v>43</v>
      </c>
      <c r="AC903" t="s">
        <v>64</v>
      </c>
      <c r="AD903" t="s">
        <v>46</v>
      </c>
      <c r="AE903" t="s">
        <v>46</v>
      </c>
      <c r="AF903" t="s">
        <v>46</v>
      </c>
      <c r="AG903" t="s">
        <v>64</v>
      </c>
      <c r="AH903" s="2" t="s">
        <v>43</v>
      </c>
    </row>
    <row r="904" spans="1:34" ht="60">
      <c r="A904" s="6" t="s">
        <v>74</v>
      </c>
      <c r="B904" s="7">
        <v>46051</v>
      </c>
      <c r="C904" s="9" t="str">
        <f>HYPERLINK("https://eping.wto.org/en/Search?viewData= G/SPS/N/IND/347/Rev.1"," G/SPS/N/IND/347/Rev.1")</f>
        <v xml:space="preserve"> G/SPS/N/IND/347/Rev.1</v>
      </c>
      <c r="D904" s="8" t="s">
        <v>3644</v>
      </c>
      <c r="E904" s="8" t="s">
        <v>3645</v>
      </c>
      <c r="F904" s="8" t="s">
        <v>3646</v>
      </c>
      <c r="G904" s="8" t="s">
        <v>3647</v>
      </c>
      <c r="H904" s="8" t="s">
        <v>43</v>
      </c>
      <c r="I904" s="8" t="s">
        <v>1721</v>
      </c>
      <c r="J904" s="8" t="s">
        <v>43</v>
      </c>
      <c r="K904" s="8" t="s">
        <v>3648</v>
      </c>
      <c r="L904" s="6" t="s">
        <v>43</v>
      </c>
      <c r="M904" s="7">
        <v>46111</v>
      </c>
      <c r="N904" s="7">
        <v>46014</v>
      </c>
      <c r="O904" s="7" t="s">
        <v>3649</v>
      </c>
      <c r="P904" s="6" t="s">
        <v>138</v>
      </c>
      <c r="Q904" s="8" t="s">
        <v>3650</v>
      </c>
      <c r="R904" t="str">
        <f>HYPERLINK("https://docs.wto.org/imrd/directdoc.asp?DDFDocuments/t/G/SPS/NIND347R1.docx", "https://docs.wto.org/imrd/directdoc.asp?DDFDocuments/t/G/SPS/NIND347R1.docx")</f>
        <v>https://docs.wto.org/imrd/directdoc.asp?DDFDocuments/t/G/SPS/NIND347R1.docx</v>
      </c>
      <c r="S904" t="str">
        <f>HYPERLINK("https://docs.wto.org/imrd/directdoc.asp?DDFDocuments/u/G/SPS/NIND347R1.docx", "https://docs.wto.org/imrd/directdoc.asp?DDFDocuments/u/G/SPS/NIND347R1.docx")</f>
        <v>https://docs.wto.org/imrd/directdoc.asp?DDFDocuments/u/G/SPS/NIND347R1.docx</v>
      </c>
      <c r="T904" t="str">
        <f>HYPERLINK("https://docs.wto.org/imrd/directdoc.asp?DDFDocuments/v/G/SPS/NIND347R1.docx", "https://docs.wto.org/imrd/directdoc.asp?DDFDocuments/v/G/SPS/NIND347R1.docx")</f>
        <v>https://docs.wto.org/imrd/directdoc.asp?DDFDocuments/v/G/SPS/NIND347R1.docx</v>
      </c>
      <c r="U904" t="s">
        <v>43</v>
      </c>
      <c r="V904" t="s">
        <v>43</v>
      </c>
      <c r="W904" t="s">
        <v>43</v>
      </c>
      <c r="X904" t="s">
        <v>43</v>
      </c>
      <c r="Y904" t="s">
        <v>43</v>
      </c>
      <c r="Z904" t="s">
        <v>43</v>
      </c>
      <c r="AA904" t="s">
        <v>43</v>
      </c>
      <c r="AB904" s="2" t="s">
        <v>43</v>
      </c>
      <c r="AC904" t="s">
        <v>46</v>
      </c>
      <c r="AD904" t="s">
        <v>64</v>
      </c>
      <c r="AE904" t="s">
        <v>46</v>
      </c>
      <c r="AF904" t="s">
        <v>46</v>
      </c>
      <c r="AG904" t="s">
        <v>64</v>
      </c>
      <c r="AH904" s="2" t="s">
        <v>43</v>
      </c>
    </row>
    <row r="905" spans="1:34" ht="225">
      <c r="A905" s="6" t="s">
        <v>880</v>
      </c>
      <c r="B905" s="7">
        <v>46051</v>
      </c>
      <c r="C905" s="9" t="str">
        <f>HYPERLINK("https://eping.wto.org/en/Search?viewData= G/TBT/N/ECU/556/Add.1"," G/TBT/N/ECU/556/Add.1")</f>
        <v xml:space="preserve"> G/TBT/N/ECU/556/Add.1</v>
      </c>
      <c r="D905" s="8" t="s">
        <v>3651</v>
      </c>
      <c r="E905" s="8" t="s">
        <v>3652</v>
      </c>
      <c r="F905" s="8" t="s">
        <v>3653</v>
      </c>
      <c r="G905" s="8" t="s">
        <v>43</v>
      </c>
      <c r="H905" s="8" t="s">
        <v>858</v>
      </c>
      <c r="I905" s="8" t="s">
        <v>275</v>
      </c>
      <c r="J905" s="8" t="s">
        <v>43</v>
      </c>
      <c r="K905" s="8" t="s">
        <v>860</v>
      </c>
      <c r="L905" s="6"/>
      <c r="M905" s="7" t="s">
        <v>43</v>
      </c>
      <c r="N905" s="7"/>
      <c r="O905" s="7"/>
      <c r="P905" s="6" t="s">
        <v>44</v>
      </c>
      <c r="Q905" s="8" t="s">
        <v>3654</v>
      </c>
      <c r="R905" t="str">
        <f>HYPERLINK("https://docs.wto.org/imrd/directdoc.asp?DDFDocuments/t/G/TBTN25/ECU556A1.docx", "https://docs.wto.org/imrd/directdoc.asp?DDFDocuments/t/G/TBTN25/ECU556A1.docx")</f>
        <v>https://docs.wto.org/imrd/directdoc.asp?DDFDocuments/t/G/TBTN25/ECU556A1.docx</v>
      </c>
      <c r="S905" t="str">
        <f>HYPERLINK("https://docs.wto.org/imrd/directdoc.asp?DDFDocuments/u/G/TBTN25/ECU556A1.docx", "https://docs.wto.org/imrd/directdoc.asp?DDFDocuments/u/G/TBTN25/ECU556A1.docx")</f>
        <v>https://docs.wto.org/imrd/directdoc.asp?DDFDocuments/u/G/TBTN25/ECU556A1.docx</v>
      </c>
      <c r="T905" t="str">
        <f>HYPERLINK("https://docs.wto.org/imrd/directdoc.asp?DDFDocuments/v/G/TBTN25/ECU556A1.docx", "https://docs.wto.org/imrd/directdoc.asp?DDFDocuments/v/G/TBTN25/ECU556A1.docx")</f>
        <v>https://docs.wto.org/imrd/directdoc.asp?DDFDocuments/v/G/TBTN25/ECU556A1.docx</v>
      </c>
      <c r="U905" t="s">
        <v>46</v>
      </c>
      <c r="V905" t="s">
        <v>46</v>
      </c>
      <c r="W905" t="s">
        <v>46</v>
      </c>
      <c r="X905" t="s">
        <v>46</v>
      </c>
      <c r="Y905" t="s">
        <v>46</v>
      </c>
      <c r="Z905" t="s">
        <v>46</v>
      </c>
      <c r="AA905" t="s">
        <v>46</v>
      </c>
      <c r="AB905" s="2" t="s">
        <v>43</v>
      </c>
      <c r="AC905" t="s">
        <v>43</v>
      </c>
      <c r="AD905" t="s">
        <v>43</v>
      </c>
      <c r="AE905" t="s">
        <v>43</v>
      </c>
      <c r="AF905" t="s">
        <v>43</v>
      </c>
      <c r="AG905" t="s">
        <v>43</v>
      </c>
      <c r="AH905" s="2" t="s">
        <v>43</v>
      </c>
    </row>
    <row r="906" spans="1:34" ht="90">
      <c r="A906" s="6" t="s">
        <v>249</v>
      </c>
      <c r="B906" s="7">
        <v>46051</v>
      </c>
      <c r="C906" s="9" t="str">
        <f>HYPERLINK("https://eping.wto.org/en/Search?viewData= G/SPS/N/COL/411"," G/SPS/N/COL/411")</f>
        <v xml:space="preserve"> G/SPS/N/COL/411</v>
      </c>
      <c r="D906" s="8" t="s">
        <v>3655</v>
      </c>
      <c r="E906" s="8" t="s">
        <v>3656</v>
      </c>
      <c r="F906" s="8" t="s">
        <v>3657</v>
      </c>
      <c r="G906" s="8" t="s">
        <v>2544</v>
      </c>
      <c r="H906" s="8" t="s">
        <v>43</v>
      </c>
      <c r="I906" s="8" t="s">
        <v>254</v>
      </c>
      <c r="J906" s="8" t="s">
        <v>43</v>
      </c>
      <c r="K906" s="8" t="s">
        <v>255</v>
      </c>
      <c r="L906" s="6" t="s">
        <v>124</v>
      </c>
      <c r="M906" s="7">
        <v>46111</v>
      </c>
      <c r="N906" s="7" t="s">
        <v>257</v>
      </c>
      <c r="O906" s="7" t="s">
        <v>257</v>
      </c>
      <c r="P906" s="6" t="s">
        <v>62</v>
      </c>
      <c r="Q906" s="8" t="s">
        <v>3658</v>
      </c>
      <c r="R906" t="str">
        <f>HYPERLINK("https://docs.wto.org/imrd/directdoc.asp?DDFDocuments/t/G/SPS/NCOL411.docx", "https://docs.wto.org/imrd/directdoc.asp?DDFDocuments/t/G/SPS/NCOL411.docx")</f>
        <v>https://docs.wto.org/imrd/directdoc.asp?DDFDocuments/t/G/SPS/NCOL411.docx</v>
      </c>
      <c r="S906" t="str">
        <f>HYPERLINK("https://docs.wto.org/imrd/directdoc.asp?DDFDocuments/u/G/SPS/NCOL411.docx", "https://docs.wto.org/imrd/directdoc.asp?DDFDocuments/u/G/SPS/NCOL411.docx")</f>
        <v>https://docs.wto.org/imrd/directdoc.asp?DDFDocuments/u/G/SPS/NCOL411.docx</v>
      </c>
      <c r="T906" t="str">
        <f>HYPERLINK("https://docs.wto.org/imrd/directdoc.asp?DDFDocuments/v/G/SPS/NCOL411.docx", "https://docs.wto.org/imrd/directdoc.asp?DDFDocuments/v/G/SPS/NCOL411.docx")</f>
        <v>https://docs.wto.org/imrd/directdoc.asp?DDFDocuments/v/G/SPS/NCOL411.docx</v>
      </c>
      <c r="U906" t="s">
        <v>43</v>
      </c>
      <c r="V906" t="s">
        <v>43</v>
      </c>
      <c r="W906" t="s">
        <v>43</v>
      </c>
      <c r="X906" t="s">
        <v>43</v>
      </c>
      <c r="Y906" t="s">
        <v>43</v>
      </c>
      <c r="Z906" t="s">
        <v>43</v>
      </c>
      <c r="AA906" t="s">
        <v>43</v>
      </c>
      <c r="AB906" s="2" t="s">
        <v>43</v>
      </c>
      <c r="AC906" t="s">
        <v>46</v>
      </c>
      <c r="AD906" t="s">
        <v>46</v>
      </c>
      <c r="AE906" t="s">
        <v>46</v>
      </c>
      <c r="AF906" t="s">
        <v>64</v>
      </c>
      <c r="AG906" t="s">
        <v>99</v>
      </c>
      <c r="AH906" s="2" t="s">
        <v>43</v>
      </c>
    </row>
    <row r="907" spans="1:34" ht="90">
      <c r="A907" s="6" t="s">
        <v>356</v>
      </c>
      <c r="B907" s="7">
        <v>46051</v>
      </c>
      <c r="C907" s="9" t="str">
        <f>HYPERLINK("https://eping.wto.org/en/Search?viewData= G/SPS/N/EU/912"," G/SPS/N/EU/912")</f>
        <v xml:space="preserve"> G/SPS/N/EU/912</v>
      </c>
      <c r="D907" s="8" t="s">
        <v>3659</v>
      </c>
      <c r="E907" s="8" t="s">
        <v>3660</v>
      </c>
      <c r="F907" s="8" t="s">
        <v>359</v>
      </c>
      <c r="G907" s="8" t="s">
        <v>156</v>
      </c>
      <c r="H907" s="8" t="s">
        <v>43</v>
      </c>
      <c r="I907" s="8" t="s">
        <v>361</v>
      </c>
      <c r="J907" s="8" t="s">
        <v>43</v>
      </c>
      <c r="K907" s="8" t="s">
        <v>3661</v>
      </c>
      <c r="L907" s="6"/>
      <c r="M907" s="7" t="s">
        <v>43</v>
      </c>
      <c r="N907" s="7">
        <v>46036</v>
      </c>
      <c r="O907" s="7" t="s">
        <v>1184</v>
      </c>
      <c r="P907" s="6" t="s">
        <v>62</v>
      </c>
      <c r="Q907" s="8" t="s">
        <v>3662</v>
      </c>
      <c r="R907" t="str">
        <f>HYPERLINK("https://docs.wto.org/imrd/directdoc.asp?DDFDocuments/t/G/SPS/NEU912.docx", "https://docs.wto.org/imrd/directdoc.asp?DDFDocuments/t/G/SPS/NEU912.docx")</f>
        <v>https://docs.wto.org/imrd/directdoc.asp?DDFDocuments/t/G/SPS/NEU912.docx</v>
      </c>
      <c r="S907" t="str">
        <f>HYPERLINK("https://docs.wto.org/imrd/directdoc.asp?DDFDocuments/u/G/SPS/NEU912.docx", "https://docs.wto.org/imrd/directdoc.asp?DDFDocuments/u/G/SPS/NEU912.docx")</f>
        <v>https://docs.wto.org/imrd/directdoc.asp?DDFDocuments/u/G/SPS/NEU912.docx</v>
      </c>
      <c r="T907" t="str">
        <f>HYPERLINK("https://docs.wto.org/imrd/directdoc.asp?DDFDocuments/v/G/SPS/NEU912.docx", "https://docs.wto.org/imrd/directdoc.asp?DDFDocuments/v/G/SPS/NEU912.docx")</f>
        <v>https://docs.wto.org/imrd/directdoc.asp?DDFDocuments/v/G/SPS/NEU912.docx</v>
      </c>
      <c r="U907" t="s">
        <v>43</v>
      </c>
      <c r="V907" t="s">
        <v>43</v>
      </c>
      <c r="W907" t="s">
        <v>43</v>
      </c>
      <c r="X907" t="s">
        <v>43</v>
      </c>
      <c r="Y907" t="s">
        <v>43</v>
      </c>
      <c r="Z907" t="s">
        <v>43</v>
      </c>
      <c r="AA907" t="s">
        <v>43</v>
      </c>
      <c r="AB907" s="2" t="s">
        <v>43</v>
      </c>
      <c r="AC907" t="s">
        <v>64</v>
      </c>
      <c r="AD907" t="s">
        <v>46</v>
      </c>
      <c r="AE907" t="s">
        <v>46</v>
      </c>
      <c r="AF907" t="s">
        <v>46</v>
      </c>
      <c r="AG907" t="s">
        <v>64</v>
      </c>
      <c r="AH907" s="2" t="s">
        <v>43</v>
      </c>
    </row>
    <row r="908" spans="1:34" ht="409.5">
      <c r="A908" s="6" t="s">
        <v>356</v>
      </c>
      <c r="B908" s="7">
        <v>46051</v>
      </c>
      <c r="C908" s="9" t="str">
        <f>HYPERLINK("https://eping.wto.org/en/Search?viewData= G/SPS/N/EU/911"," G/SPS/N/EU/911")</f>
        <v xml:space="preserve"> G/SPS/N/EU/911</v>
      </c>
      <c r="D908" s="8" t="s">
        <v>3663</v>
      </c>
      <c r="E908" s="8" t="s">
        <v>3664</v>
      </c>
      <c r="F908" s="8" t="s">
        <v>3665</v>
      </c>
      <c r="G908" s="8" t="s">
        <v>43</v>
      </c>
      <c r="H908" s="8" t="s">
        <v>43</v>
      </c>
      <c r="I908" s="8" t="s">
        <v>361</v>
      </c>
      <c r="J908" s="8" t="s">
        <v>43</v>
      </c>
      <c r="K908" s="8" t="s">
        <v>3666</v>
      </c>
      <c r="L908" s="6"/>
      <c r="M908" s="7">
        <v>46111</v>
      </c>
      <c r="N908" s="7" t="s">
        <v>304</v>
      </c>
      <c r="O908" s="7" t="s">
        <v>3667</v>
      </c>
      <c r="P908" s="6" t="s">
        <v>62</v>
      </c>
      <c r="Q908" s="8" t="s">
        <v>3668</v>
      </c>
      <c r="R908" t="str">
        <f>HYPERLINK("https://docs.wto.org/imrd/directdoc.asp?DDFDocuments/t/G/SPS/NEU911.docx", "https://docs.wto.org/imrd/directdoc.asp?DDFDocuments/t/G/SPS/NEU911.docx")</f>
        <v>https://docs.wto.org/imrd/directdoc.asp?DDFDocuments/t/G/SPS/NEU911.docx</v>
      </c>
      <c r="S908" t="str">
        <f>HYPERLINK("https://docs.wto.org/imrd/directdoc.asp?DDFDocuments/u/G/SPS/NEU911.docx", "https://docs.wto.org/imrd/directdoc.asp?DDFDocuments/u/G/SPS/NEU911.docx")</f>
        <v>https://docs.wto.org/imrd/directdoc.asp?DDFDocuments/u/G/SPS/NEU911.docx</v>
      </c>
      <c r="T908" t="str">
        <f>HYPERLINK("https://docs.wto.org/imrd/directdoc.asp?DDFDocuments/v/G/SPS/NEU911.docx", "https://docs.wto.org/imrd/directdoc.asp?DDFDocuments/v/G/SPS/NEU911.docx")</f>
        <v>https://docs.wto.org/imrd/directdoc.asp?DDFDocuments/v/G/SPS/NEU911.docx</v>
      </c>
      <c r="U908" t="s">
        <v>43</v>
      </c>
      <c r="V908" t="s">
        <v>43</v>
      </c>
      <c r="W908" t="s">
        <v>43</v>
      </c>
      <c r="X908" t="s">
        <v>43</v>
      </c>
      <c r="Y908" t="s">
        <v>43</v>
      </c>
      <c r="Z908" t="s">
        <v>43</v>
      </c>
      <c r="AA908" t="s">
        <v>43</v>
      </c>
      <c r="AB908" s="2" t="s">
        <v>43</v>
      </c>
      <c r="AC908" t="s">
        <v>64</v>
      </c>
      <c r="AD908" t="s">
        <v>64</v>
      </c>
      <c r="AE908" t="s">
        <v>46</v>
      </c>
      <c r="AF908" t="s">
        <v>46</v>
      </c>
      <c r="AG908" t="s">
        <v>64</v>
      </c>
      <c r="AH908" s="2" t="s">
        <v>43</v>
      </c>
    </row>
    <row r="909" spans="1:34" ht="165">
      <c r="A909" s="6" t="s">
        <v>2430</v>
      </c>
      <c r="B909" s="7">
        <v>46051</v>
      </c>
      <c r="C909" s="9" t="str">
        <f>HYPERLINK("https://eping.wto.org/en/Search?viewData= G/SPS/N/NIC/249"," G/SPS/N/NIC/249")</f>
        <v xml:space="preserve"> G/SPS/N/NIC/249</v>
      </c>
      <c r="D909" s="8" t="s">
        <v>3669</v>
      </c>
      <c r="E909" s="8" t="s">
        <v>3670</v>
      </c>
      <c r="F909" s="8" t="s">
        <v>3671</v>
      </c>
      <c r="G909" s="8" t="s">
        <v>43</v>
      </c>
      <c r="H909" s="8" t="s">
        <v>43</v>
      </c>
      <c r="I909" s="8" t="s">
        <v>2433</v>
      </c>
      <c r="J909" s="8" t="s">
        <v>43</v>
      </c>
      <c r="K909" s="8" t="s">
        <v>3332</v>
      </c>
      <c r="L909" s="6" t="s">
        <v>196</v>
      </c>
      <c r="M909" s="7">
        <v>46111</v>
      </c>
      <c r="N909" s="7" t="s">
        <v>79</v>
      </c>
      <c r="O909" s="7" t="s">
        <v>79</v>
      </c>
      <c r="P909" s="6" t="s">
        <v>62</v>
      </c>
      <c r="Q909" s="8" t="s">
        <v>3672</v>
      </c>
      <c r="R909" t="str">
        <f>HYPERLINK("https://docs.wto.org/imrd/directdoc.asp?DDFDocuments/t/G/SPS/NNIC249.docx", "https://docs.wto.org/imrd/directdoc.asp?DDFDocuments/t/G/SPS/NNIC249.docx")</f>
        <v>https://docs.wto.org/imrd/directdoc.asp?DDFDocuments/t/G/SPS/NNIC249.docx</v>
      </c>
      <c r="S909" t="str">
        <f>HYPERLINK("https://docs.wto.org/imrd/directdoc.asp?DDFDocuments/u/G/SPS/NNIC249.docx", "https://docs.wto.org/imrd/directdoc.asp?DDFDocuments/u/G/SPS/NNIC249.docx")</f>
        <v>https://docs.wto.org/imrd/directdoc.asp?DDFDocuments/u/G/SPS/NNIC249.docx</v>
      </c>
      <c r="T909" t="str">
        <f>HYPERLINK("https://docs.wto.org/imrd/directdoc.asp?DDFDocuments/v/G/SPS/NNIC249.docx", "https://docs.wto.org/imrd/directdoc.asp?DDFDocuments/v/G/SPS/NNIC249.docx")</f>
        <v>https://docs.wto.org/imrd/directdoc.asp?DDFDocuments/v/G/SPS/NNIC249.docx</v>
      </c>
      <c r="U909" t="s">
        <v>43</v>
      </c>
      <c r="V909" t="s">
        <v>43</v>
      </c>
      <c r="W909" t="s">
        <v>43</v>
      </c>
      <c r="X909" t="s">
        <v>43</v>
      </c>
      <c r="Y909" t="s">
        <v>43</v>
      </c>
      <c r="Z909" t="s">
        <v>43</v>
      </c>
      <c r="AA909" t="s">
        <v>43</v>
      </c>
      <c r="AB909" s="2" t="s">
        <v>43</v>
      </c>
      <c r="AC909" t="s">
        <v>46</v>
      </c>
      <c r="AD909" t="s">
        <v>46</v>
      </c>
      <c r="AE909" t="s">
        <v>46</v>
      </c>
      <c r="AF909" t="s">
        <v>64</v>
      </c>
      <c r="AG909" t="s">
        <v>99</v>
      </c>
      <c r="AH909" s="2" t="s">
        <v>43</v>
      </c>
    </row>
    <row r="910" spans="1:34" ht="30">
      <c r="A910" s="6" t="s">
        <v>289</v>
      </c>
      <c r="B910" s="7">
        <v>46051</v>
      </c>
      <c r="C910" s="9" t="str">
        <f>HYPERLINK("https://eping.wto.org/en/Search?viewData= G/SPS/N/BRA/2467"," G/SPS/N/BRA/2467")</f>
        <v xml:space="preserve"> G/SPS/N/BRA/2467</v>
      </c>
      <c r="D910" s="8" t="s">
        <v>3673</v>
      </c>
      <c r="E910" s="8" t="s">
        <v>3674</v>
      </c>
      <c r="F910" s="8" t="s">
        <v>3675</v>
      </c>
      <c r="G910" s="8" t="s">
        <v>43</v>
      </c>
      <c r="H910" s="8" t="s">
        <v>43</v>
      </c>
      <c r="I910" s="8" t="s">
        <v>94</v>
      </c>
      <c r="J910" s="8" t="s">
        <v>43</v>
      </c>
      <c r="K910" s="8" t="s">
        <v>3676</v>
      </c>
      <c r="L910" s="6" t="s">
        <v>43</v>
      </c>
      <c r="M910" s="7">
        <v>46111</v>
      </c>
      <c r="N910" s="7" t="s">
        <v>304</v>
      </c>
      <c r="O910" s="7" t="s">
        <v>304</v>
      </c>
      <c r="P910" s="6" t="s">
        <v>62</v>
      </c>
      <c r="Q910" s="8" t="s">
        <v>3677</v>
      </c>
      <c r="R910" t="str">
        <f>HYPERLINK("https://docs.wto.org/imrd/directdoc.asp?DDFDocuments/t/G/SPS/NBRA2467.docx", "https://docs.wto.org/imrd/directdoc.asp?DDFDocuments/t/G/SPS/NBRA2467.docx")</f>
        <v>https://docs.wto.org/imrd/directdoc.asp?DDFDocuments/t/G/SPS/NBRA2467.docx</v>
      </c>
      <c r="S910" t="str">
        <f>HYPERLINK("https://docs.wto.org/imrd/directdoc.asp?DDFDocuments/u/G/SPS/NBRA2467.docx", "https://docs.wto.org/imrd/directdoc.asp?DDFDocuments/u/G/SPS/NBRA2467.docx")</f>
        <v>https://docs.wto.org/imrd/directdoc.asp?DDFDocuments/u/G/SPS/NBRA2467.docx</v>
      </c>
      <c r="T910" t="str">
        <f>HYPERLINK("https://docs.wto.org/imrd/directdoc.asp?DDFDocuments/v/G/SPS/NBRA2467.docx", "https://docs.wto.org/imrd/directdoc.asp?DDFDocuments/v/G/SPS/NBRA2467.docx")</f>
        <v>https://docs.wto.org/imrd/directdoc.asp?DDFDocuments/v/G/SPS/NBRA2467.docx</v>
      </c>
      <c r="U910" t="s">
        <v>43</v>
      </c>
      <c r="V910" t="s">
        <v>43</v>
      </c>
      <c r="W910" t="s">
        <v>43</v>
      </c>
      <c r="X910" t="s">
        <v>43</v>
      </c>
      <c r="Y910" t="s">
        <v>43</v>
      </c>
      <c r="Z910" t="s">
        <v>43</v>
      </c>
      <c r="AA910" t="s">
        <v>43</v>
      </c>
      <c r="AB910" s="2" t="s">
        <v>43</v>
      </c>
      <c r="AC910" t="s">
        <v>46</v>
      </c>
      <c r="AD910" t="s">
        <v>46</v>
      </c>
      <c r="AE910" t="s">
        <v>64</v>
      </c>
      <c r="AF910" t="s">
        <v>46</v>
      </c>
      <c r="AG910" t="s">
        <v>64</v>
      </c>
      <c r="AH910" s="2" t="s">
        <v>43</v>
      </c>
    </row>
    <row r="911" spans="1:34" ht="75">
      <c r="A911" s="6" t="s">
        <v>303</v>
      </c>
      <c r="B911" s="7">
        <v>46051</v>
      </c>
      <c r="C911" s="9" t="str">
        <f>HYPERLINK("https://eping.wto.org/en/Search?viewData= G/TBT/N/KOR/1339"," G/TBT/N/KOR/1339")</f>
        <v xml:space="preserve"> G/TBT/N/KOR/1339</v>
      </c>
      <c r="D911" s="8" t="s">
        <v>3678</v>
      </c>
      <c r="E911" s="8" t="s">
        <v>3679</v>
      </c>
      <c r="F911" s="8" t="s">
        <v>3680</v>
      </c>
      <c r="G911" s="8" t="s">
        <v>43</v>
      </c>
      <c r="H911" s="8" t="s">
        <v>43</v>
      </c>
      <c r="I911" s="8" t="s">
        <v>1261</v>
      </c>
      <c r="J911" s="8" t="s">
        <v>43</v>
      </c>
      <c r="K911" s="8" t="s">
        <v>43</v>
      </c>
      <c r="L911" s="6"/>
      <c r="M911" s="7">
        <v>46071</v>
      </c>
      <c r="N911" s="7" t="s">
        <v>79</v>
      </c>
      <c r="O911" s="7" t="s">
        <v>79</v>
      </c>
      <c r="P911" s="6" t="s">
        <v>62</v>
      </c>
      <c r="Q911" s="8" t="s">
        <v>3681</v>
      </c>
      <c r="R911" t="str">
        <f>HYPERLINK("https://docs.wto.org/imrd/directdoc.asp?DDFDocuments/t/G/TBTN26/KOR1339.docx", "https://docs.wto.org/imrd/directdoc.asp?DDFDocuments/t/G/TBTN26/KOR1339.docx")</f>
        <v>https://docs.wto.org/imrd/directdoc.asp?DDFDocuments/t/G/TBTN26/KOR1339.docx</v>
      </c>
      <c r="S911" t="str">
        <f>HYPERLINK("https://docs.wto.org/imrd/directdoc.asp?DDFDocuments/u/G/TBTN26/KOR1339.docx", "https://docs.wto.org/imrd/directdoc.asp?DDFDocuments/u/G/TBTN26/KOR1339.docx")</f>
        <v>https://docs.wto.org/imrd/directdoc.asp?DDFDocuments/u/G/TBTN26/KOR1339.docx</v>
      </c>
      <c r="T911" t="str">
        <f>HYPERLINK("https://docs.wto.org/imrd/directdoc.asp?DDFDocuments/v/G/TBTN26/KOR1339.docx", "https://docs.wto.org/imrd/directdoc.asp?DDFDocuments/v/G/TBTN26/KOR1339.docx")</f>
        <v>https://docs.wto.org/imrd/directdoc.asp?DDFDocuments/v/G/TBTN26/KOR1339.docx</v>
      </c>
      <c r="U911" t="s">
        <v>64</v>
      </c>
      <c r="V911" t="s">
        <v>46</v>
      </c>
      <c r="W911" t="s">
        <v>46</v>
      </c>
      <c r="X911" t="s">
        <v>46</v>
      </c>
      <c r="Y911" t="s">
        <v>46</v>
      </c>
      <c r="Z911" t="s">
        <v>46</v>
      </c>
      <c r="AA911" t="s">
        <v>46</v>
      </c>
      <c r="AB911" s="2" t="s">
        <v>3682</v>
      </c>
      <c r="AC911" t="s">
        <v>43</v>
      </c>
      <c r="AD911" t="s">
        <v>43</v>
      </c>
      <c r="AE911" t="s">
        <v>43</v>
      </c>
      <c r="AF911" t="s">
        <v>43</v>
      </c>
      <c r="AG911" t="s">
        <v>43</v>
      </c>
      <c r="AH911" s="2" t="s">
        <v>43</v>
      </c>
    </row>
    <row r="912" spans="1:34" ht="409.5">
      <c r="A912" s="6" t="s">
        <v>1328</v>
      </c>
      <c r="B912" s="7">
        <v>46051</v>
      </c>
      <c r="C912" s="9" t="str">
        <f>HYPERLINK("https://eping.wto.org/en/Search?viewData= G/SPS/N/PHL/539"," G/SPS/N/PHL/539")</f>
        <v xml:space="preserve"> G/SPS/N/PHL/539</v>
      </c>
      <c r="D912" s="8" t="s">
        <v>3683</v>
      </c>
      <c r="E912" s="8" t="s">
        <v>3684</v>
      </c>
      <c r="F912" s="8" t="s">
        <v>3641</v>
      </c>
      <c r="G912" s="8" t="s">
        <v>3685</v>
      </c>
      <c r="H912" s="8" t="s">
        <v>1998</v>
      </c>
      <c r="I912" s="8" t="s">
        <v>361</v>
      </c>
      <c r="J912" s="8" t="s">
        <v>43</v>
      </c>
      <c r="K912" s="8" t="s">
        <v>310</v>
      </c>
      <c r="L912" s="6" t="s">
        <v>43</v>
      </c>
      <c r="M912" s="7" t="s">
        <v>43</v>
      </c>
      <c r="N912" s="7">
        <v>45985</v>
      </c>
      <c r="O912" s="7">
        <v>45998</v>
      </c>
      <c r="P912" s="6" t="s">
        <v>62</v>
      </c>
      <c r="Q912" s="8" t="s">
        <v>3686</v>
      </c>
      <c r="R912" t="str">
        <f>HYPERLINK("https://docs.wto.org/imrd/directdoc.asp?DDFDocuments/t/G/SPS/NPHL539.docx", "https://docs.wto.org/imrd/directdoc.asp?DDFDocuments/t/G/SPS/NPHL539.docx")</f>
        <v>https://docs.wto.org/imrd/directdoc.asp?DDFDocuments/t/G/SPS/NPHL539.docx</v>
      </c>
      <c r="S912" t="str">
        <f>HYPERLINK("https://docs.wto.org/imrd/directdoc.asp?DDFDocuments/u/G/SPS/NPHL539.docx", "https://docs.wto.org/imrd/directdoc.asp?DDFDocuments/u/G/SPS/NPHL539.docx")</f>
        <v>https://docs.wto.org/imrd/directdoc.asp?DDFDocuments/u/G/SPS/NPHL539.docx</v>
      </c>
      <c r="T912" t="str">
        <f>HYPERLINK("https://docs.wto.org/imrd/directdoc.asp?DDFDocuments/v/G/SPS/NPHL539.docx", "https://docs.wto.org/imrd/directdoc.asp?DDFDocuments/v/G/SPS/NPHL539.docx")</f>
        <v>https://docs.wto.org/imrd/directdoc.asp?DDFDocuments/v/G/SPS/NPHL539.docx</v>
      </c>
      <c r="U912" t="s">
        <v>43</v>
      </c>
      <c r="V912" t="s">
        <v>43</v>
      </c>
      <c r="W912" t="s">
        <v>43</v>
      </c>
      <c r="X912" t="s">
        <v>43</v>
      </c>
      <c r="Y912" t="s">
        <v>43</v>
      </c>
      <c r="Z912" t="s">
        <v>43</v>
      </c>
      <c r="AA912" t="s">
        <v>43</v>
      </c>
      <c r="AB912" s="2" t="s">
        <v>43</v>
      </c>
      <c r="AC912" t="s">
        <v>46</v>
      </c>
      <c r="AD912" t="s">
        <v>46</v>
      </c>
      <c r="AE912" t="s">
        <v>46</v>
      </c>
      <c r="AF912" t="s">
        <v>64</v>
      </c>
      <c r="AG912" t="s">
        <v>99</v>
      </c>
      <c r="AH912" s="2" t="s">
        <v>43</v>
      </c>
    </row>
    <row r="913" spans="1:34" ht="135">
      <c r="A913" s="6" t="s">
        <v>2430</v>
      </c>
      <c r="B913" s="7">
        <v>46051</v>
      </c>
      <c r="C913" s="9" t="str">
        <f>HYPERLINK("https://eping.wto.org/en/Search?viewData= G/SPS/N/NIC/250"," G/SPS/N/NIC/250")</f>
        <v xml:space="preserve"> G/SPS/N/NIC/250</v>
      </c>
      <c r="D913" s="8" t="s">
        <v>3687</v>
      </c>
      <c r="E913" s="8" t="s">
        <v>3688</v>
      </c>
      <c r="F913" s="8" t="s">
        <v>3689</v>
      </c>
      <c r="G913" s="8" t="s">
        <v>43</v>
      </c>
      <c r="H913" s="8" t="s">
        <v>43</v>
      </c>
      <c r="I913" s="8" t="s">
        <v>2433</v>
      </c>
      <c r="J913" s="8" t="s">
        <v>43</v>
      </c>
      <c r="K913" s="8" t="s">
        <v>95</v>
      </c>
      <c r="L913" s="6" t="s">
        <v>2294</v>
      </c>
      <c r="M913" s="7">
        <v>46111</v>
      </c>
      <c r="N913" s="7" t="s">
        <v>79</v>
      </c>
      <c r="O913" s="7" t="s">
        <v>79</v>
      </c>
      <c r="P913" s="6" t="s">
        <v>62</v>
      </c>
      <c r="Q913" s="8" t="s">
        <v>3690</v>
      </c>
      <c r="R913" t="str">
        <f>HYPERLINK("https://docs.wto.org/imrd/directdoc.asp?DDFDocuments/t/G/SPS/NNIC250.docx", "https://docs.wto.org/imrd/directdoc.asp?DDFDocuments/t/G/SPS/NNIC250.docx")</f>
        <v>https://docs.wto.org/imrd/directdoc.asp?DDFDocuments/t/G/SPS/NNIC250.docx</v>
      </c>
      <c r="S913" t="str">
        <f>HYPERLINK("https://docs.wto.org/imrd/directdoc.asp?DDFDocuments/u/G/SPS/NNIC250.docx", "https://docs.wto.org/imrd/directdoc.asp?DDFDocuments/u/G/SPS/NNIC250.docx")</f>
        <v>https://docs.wto.org/imrd/directdoc.asp?DDFDocuments/u/G/SPS/NNIC250.docx</v>
      </c>
      <c r="T913" t="str">
        <f>HYPERLINK("https://docs.wto.org/imrd/directdoc.asp?DDFDocuments/v/G/SPS/NNIC250.docx", "https://docs.wto.org/imrd/directdoc.asp?DDFDocuments/v/G/SPS/NNIC250.docx")</f>
        <v>https://docs.wto.org/imrd/directdoc.asp?DDFDocuments/v/G/SPS/NNIC250.docx</v>
      </c>
      <c r="U913" t="s">
        <v>43</v>
      </c>
      <c r="V913" t="s">
        <v>43</v>
      </c>
      <c r="W913" t="s">
        <v>43</v>
      </c>
      <c r="X913" t="s">
        <v>43</v>
      </c>
      <c r="Y913" t="s">
        <v>43</v>
      </c>
      <c r="Z913" t="s">
        <v>43</v>
      </c>
      <c r="AA913" t="s">
        <v>43</v>
      </c>
      <c r="AB913" s="2" t="s">
        <v>43</v>
      </c>
      <c r="AC913" t="s">
        <v>46</v>
      </c>
      <c r="AD913" t="s">
        <v>46</v>
      </c>
      <c r="AE913" t="s">
        <v>46</v>
      </c>
      <c r="AF913" t="s">
        <v>64</v>
      </c>
      <c r="AG913" t="s">
        <v>99</v>
      </c>
      <c r="AH913" s="2" t="s">
        <v>43</v>
      </c>
    </row>
    <row r="914" spans="1:34" ht="75">
      <c r="A914" s="6" t="s">
        <v>306</v>
      </c>
      <c r="B914" s="7">
        <v>46051</v>
      </c>
      <c r="C914" s="9" t="str">
        <f>HYPERLINK("https://eping.wto.org/en/Search?viewData= G/SPS/N/NPL/49"," G/SPS/N/NPL/49")</f>
        <v xml:space="preserve"> G/SPS/N/NPL/49</v>
      </c>
      <c r="D914" s="8" t="s">
        <v>3691</v>
      </c>
      <c r="E914" s="8" t="s">
        <v>3692</v>
      </c>
      <c r="F914" s="8" t="s">
        <v>3693</v>
      </c>
      <c r="G914" s="8" t="s">
        <v>43</v>
      </c>
      <c r="H914" s="8" t="s">
        <v>43</v>
      </c>
      <c r="I914" s="8" t="s">
        <v>58</v>
      </c>
      <c r="J914" s="8" t="s">
        <v>43</v>
      </c>
      <c r="K914" s="8" t="s">
        <v>157</v>
      </c>
      <c r="L914" s="6" t="s">
        <v>43</v>
      </c>
      <c r="M914" s="7">
        <v>46111</v>
      </c>
      <c r="N914" s="7" t="s">
        <v>3694</v>
      </c>
      <c r="O914" s="7" t="s">
        <v>3695</v>
      </c>
      <c r="P914" s="6" t="s">
        <v>62</v>
      </c>
      <c r="Q914" s="8" t="s">
        <v>3696</v>
      </c>
      <c r="R914" t="str">
        <f>HYPERLINK("https://docs.wto.org/imrd/directdoc.asp?DDFDocuments/t/G/SPS/NNPL49.docx", "https://docs.wto.org/imrd/directdoc.asp?DDFDocuments/t/G/SPS/NNPL49.docx")</f>
        <v>https://docs.wto.org/imrd/directdoc.asp?DDFDocuments/t/G/SPS/NNPL49.docx</v>
      </c>
      <c r="S914" t="str">
        <f>HYPERLINK("https://docs.wto.org/imrd/directdoc.asp?DDFDocuments/u/G/SPS/NNPL49.docx", "https://docs.wto.org/imrd/directdoc.asp?DDFDocuments/u/G/SPS/NNPL49.docx")</f>
        <v>https://docs.wto.org/imrd/directdoc.asp?DDFDocuments/u/G/SPS/NNPL49.docx</v>
      </c>
      <c r="T914" t="str">
        <f>HYPERLINK("https://docs.wto.org/imrd/directdoc.asp?DDFDocuments/v/G/SPS/NNPL49.docx", "https://docs.wto.org/imrd/directdoc.asp?DDFDocuments/v/G/SPS/NNPL49.docx")</f>
        <v>https://docs.wto.org/imrd/directdoc.asp?DDFDocuments/v/G/SPS/NNPL49.docx</v>
      </c>
      <c r="U914" t="s">
        <v>43</v>
      </c>
      <c r="V914" t="s">
        <v>43</v>
      </c>
      <c r="W914" t="s">
        <v>43</v>
      </c>
      <c r="X914" t="s">
        <v>43</v>
      </c>
      <c r="Y914" t="s">
        <v>43</v>
      </c>
      <c r="Z914" t="s">
        <v>43</v>
      </c>
      <c r="AA914" t="s">
        <v>43</v>
      </c>
      <c r="AB914" s="2" t="s">
        <v>43</v>
      </c>
      <c r="AC914" t="s">
        <v>46</v>
      </c>
      <c r="AD914" t="s">
        <v>46</v>
      </c>
      <c r="AE914" t="s">
        <v>46</v>
      </c>
      <c r="AF914" t="s">
        <v>64</v>
      </c>
      <c r="AG914" t="s">
        <v>99</v>
      </c>
      <c r="AH914" s="2" t="s">
        <v>43</v>
      </c>
    </row>
    <row r="915" spans="1:34" ht="60">
      <c r="A915" s="6" t="s">
        <v>74</v>
      </c>
      <c r="B915" s="7">
        <v>46051</v>
      </c>
      <c r="C915" s="9" t="str">
        <f>HYPERLINK("https://eping.wto.org/en/Search?viewData= G/SPS/N/IND/346/Rev.1"," G/SPS/N/IND/346/Rev.1")</f>
        <v xml:space="preserve"> G/SPS/N/IND/346/Rev.1</v>
      </c>
      <c r="D915" s="8" t="s">
        <v>3697</v>
      </c>
      <c r="E915" s="8" t="s">
        <v>3645</v>
      </c>
      <c r="F915" s="8" t="s">
        <v>3698</v>
      </c>
      <c r="G915" s="8" t="s">
        <v>3699</v>
      </c>
      <c r="H915" s="8" t="s">
        <v>43</v>
      </c>
      <c r="I915" s="8" t="s">
        <v>1721</v>
      </c>
      <c r="J915" s="8" t="s">
        <v>43</v>
      </c>
      <c r="K915" s="8" t="s">
        <v>1759</v>
      </c>
      <c r="L915" s="6" t="s">
        <v>43</v>
      </c>
      <c r="M915" s="7">
        <v>46111</v>
      </c>
      <c r="N915" s="7">
        <v>46014</v>
      </c>
      <c r="O915" s="7" t="s">
        <v>3649</v>
      </c>
      <c r="P915" s="6" t="s">
        <v>138</v>
      </c>
      <c r="Q915" s="8" t="s">
        <v>3700</v>
      </c>
      <c r="R915" t="str">
        <f>HYPERLINK("https://docs.wto.org/imrd/directdoc.asp?DDFDocuments/t/G/SPS/NIND346R1.docx", "https://docs.wto.org/imrd/directdoc.asp?DDFDocuments/t/G/SPS/NIND346R1.docx")</f>
        <v>https://docs.wto.org/imrd/directdoc.asp?DDFDocuments/t/G/SPS/NIND346R1.docx</v>
      </c>
      <c r="S915" t="str">
        <f>HYPERLINK("https://docs.wto.org/imrd/directdoc.asp?DDFDocuments/u/G/SPS/NIND346R1.docx", "https://docs.wto.org/imrd/directdoc.asp?DDFDocuments/u/G/SPS/NIND346R1.docx")</f>
        <v>https://docs.wto.org/imrd/directdoc.asp?DDFDocuments/u/G/SPS/NIND346R1.docx</v>
      </c>
      <c r="T915" t="str">
        <f>HYPERLINK("https://docs.wto.org/imrd/directdoc.asp?DDFDocuments/v/G/SPS/NIND346R1.docx", "https://docs.wto.org/imrd/directdoc.asp?DDFDocuments/v/G/SPS/NIND346R1.docx")</f>
        <v>https://docs.wto.org/imrd/directdoc.asp?DDFDocuments/v/G/SPS/NIND346R1.docx</v>
      </c>
      <c r="U915" t="s">
        <v>43</v>
      </c>
      <c r="V915" t="s">
        <v>43</v>
      </c>
      <c r="W915" t="s">
        <v>43</v>
      </c>
      <c r="X915" t="s">
        <v>43</v>
      </c>
      <c r="Y915" t="s">
        <v>43</v>
      </c>
      <c r="Z915" t="s">
        <v>43</v>
      </c>
      <c r="AA915" t="s">
        <v>43</v>
      </c>
      <c r="AB915" s="2" t="s">
        <v>43</v>
      </c>
      <c r="AC915" t="s">
        <v>46</v>
      </c>
      <c r="AD915" t="s">
        <v>64</v>
      </c>
      <c r="AE915" t="s">
        <v>46</v>
      </c>
      <c r="AF915" t="s">
        <v>46</v>
      </c>
      <c r="AG915" t="s">
        <v>64</v>
      </c>
      <c r="AH915" s="2" t="s">
        <v>43</v>
      </c>
    </row>
    <row r="916" spans="1:34" ht="120">
      <c r="A916" s="6" t="s">
        <v>1649</v>
      </c>
      <c r="B916" s="7">
        <v>46051</v>
      </c>
      <c r="C916" s="9" t="str">
        <f>HYPERLINK("https://eping.wto.org/en/Search?viewData= G/TBT/N/VNM/391"," G/TBT/N/VNM/391")</f>
        <v xml:space="preserve"> G/TBT/N/VNM/391</v>
      </c>
      <c r="D916" s="8" t="s">
        <v>3701</v>
      </c>
      <c r="E916" s="8" t="s">
        <v>3702</v>
      </c>
      <c r="F916" s="8" t="s">
        <v>1370</v>
      </c>
      <c r="G916" s="8" t="s">
        <v>43</v>
      </c>
      <c r="H916" s="8" t="s">
        <v>43</v>
      </c>
      <c r="I916" s="8" t="s">
        <v>275</v>
      </c>
      <c r="J916" s="8" t="s">
        <v>3703</v>
      </c>
      <c r="K916" s="8" t="s">
        <v>240</v>
      </c>
      <c r="L916" s="6"/>
      <c r="M916" s="7">
        <v>46111</v>
      </c>
      <c r="N916" s="7">
        <v>46113</v>
      </c>
      <c r="O916" s="7">
        <v>46143</v>
      </c>
      <c r="P916" s="6" t="s">
        <v>62</v>
      </c>
      <c r="Q916" s="8" t="s">
        <v>3704</v>
      </c>
      <c r="R916" t="str">
        <f>HYPERLINK("https://docs.wto.org/imrd/directdoc.asp?DDFDocuments/t/G/TBTN26/VNM391.docx", "https://docs.wto.org/imrd/directdoc.asp?DDFDocuments/t/G/TBTN26/VNM391.docx")</f>
        <v>https://docs.wto.org/imrd/directdoc.asp?DDFDocuments/t/G/TBTN26/VNM391.docx</v>
      </c>
      <c r="S916" t="str">
        <f>HYPERLINK("https://docs.wto.org/imrd/directdoc.asp?DDFDocuments/u/G/TBTN26/VNM391.docx", "https://docs.wto.org/imrd/directdoc.asp?DDFDocuments/u/G/TBTN26/VNM391.docx")</f>
        <v>https://docs.wto.org/imrd/directdoc.asp?DDFDocuments/u/G/TBTN26/VNM391.docx</v>
      </c>
      <c r="T916" t="str">
        <f>HYPERLINK("https://docs.wto.org/imrd/directdoc.asp?DDFDocuments/v/G/TBTN26/VNM391.docx", "https://docs.wto.org/imrd/directdoc.asp?DDFDocuments/v/G/TBTN26/VNM391.docx")</f>
        <v>https://docs.wto.org/imrd/directdoc.asp?DDFDocuments/v/G/TBTN26/VNM391.docx</v>
      </c>
      <c r="U916" t="s">
        <v>64</v>
      </c>
      <c r="V916" t="s">
        <v>46</v>
      </c>
      <c r="W916" t="s">
        <v>46</v>
      </c>
      <c r="X916" t="s">
        <v>46</v>
      </c>
      <c r="Y916" t="s">
        <v>46</v>
      </c>
      <c r="Z916" t="s">
        <v>46</v>
      </c>
      <c r="AA916" t="s">
        <v>46</v>
      </c>
      <c r="AB916" s="2" t="s">
        <v>3705</v>
      </c>
      <c r="AC916" t="s">
        <v>43</v>
      </c>
      <c r="AD916" t="s">
        <v>43</v>
      </c>
      <c r="AE916" t="s">
        <v>43</v>
      </c>
      <c r="AF916" t="s">
        <v>43</v>
      </c>
      <c r="AG916" t="s">
        <v>43</v>
      </c>
      <c r="AH916" s="2" t="s">
        <v>43</v>
      </c>
    </row>
    <row r="917" spans="1:34" ht="409.5">
      <c r="A917" s="6" t="s">
        <v>356</v>
      </c>
      <c r="B917" s="7">
        <v>46051</v>
      </c>
      <c r="C917" s="9" t="str">
        <f>HYPERLINK("https://eping.wto.org/en/Search?viewData= G/SPS/N/EU/913"," G/SPS/N/EU/913")</f>
        <v xml:space="preserve"> G/SPS/N/EU/913</v>
      </c>
      <c r="D917" s="8" t="s">
        <v>3706</v>
      </c>
      <c r="E917" s="8" t="s">
        <v>3707</v>
      </c>
      <c r="F917" s="8" t="s">
        <v>1471</v>
      </c>
      <c r="G917" s="8" t="s">
        <v>43</v>
      </c>
      <c r="H917" s="8" t="s">
        <v>43</v>
      </c>
      <c r="I917" s="8" t="s">
        <v>58</v>
      </c>
      <c r="J917" s="8" t="s">
        <v>43</v>
      </c>
      <c r="K917" s="8" t="s">
        <v>3708</v>
      </c>
      <c r="L917" s="6"/>
      <c r="M917" s="7" t="s">
        <v>43</v>
      </c>
      <c r="N917" s="7">
        <v>46050</v>
      </c>
      <c r="O917" s="7">
        <v>46071</v>
      </c>
      <c r="P917" s="6" t="s">
        <v>62</v>
      </c>
      <c r="Q917" s="8" t="s">
        <v>3709</v>
      </c>
      <c r="R917" t="str">
        <f>HYPERLINK("https://docs.wto.org/imrd/directdoc.asp?DDFDocuments/t/G/SPS/NEU913.docx", "https://docs.wto.org/imrd/directdoc.asp?DDFDocuments/t/G/SPS/NEU913.docx")</f>
        <v>https://docs.wto.org/imrd/directdoc.asp?DDFDocuments/t/G/SPS/NEU913.docx</v>
      </c>
      <c r="S917" t="str">
        <f>HYPERLINK("https://docs.wto.org/imrd/directdoc.asp?DDFDocuments/u/G/SPS/NEU913.docx", "https://docs.wto.org/imrd/directdoc.asp?DDFDocuments/u/G/SPS/NEU913.docx")</f>
        <v>https://docs.wto.org/imrd/directdoc.asp?DDFDocuments/u/G/SPS/NEU913.docx</v>
      </c>
      <c r="T917" t="str">
        <f>HYPERLINK("https://docs.wto.org/imrd/directdoc.asp?DDFDocuments/v/G/SPS/NEU913.docx", "https://docs.wto.org/imrd/directdoc.asp?DDFDocuments/v/G/SPS/NEU913.docx")</f>
        <v>https://docs.wto.org/imrd/directdoc.asp?DDFDocuments/v/G/SPS/NEU913.docx</v>
      </c>
      <c r="U917" t="s">
        <v>43</v>
      </c>
      <c r="V917" t="s">
        <v>43</v>
      </c>
      <c r="W917" t="s">
        <v>43</v>
      </c>
      <c r="X917" t="s">
        <v>43</v>
      </c>
      <c r="Y917" t="s">
        <v>43</v>
      </c>
      <c r="Z917" t="s">
        <v>43</v>
      </c>
      <c r="AA917" t="s">
        <v>43</v>
      </c>
      <c r="AB917" s="2" t="s">
        <v>43</v>
      </c>
      <c r="AC917" t="s">
        <v>46</v>
      </c>
      <c r="AD917" t="s">
        <v>46</v>
      </c>
      <c r="AE917" t="s">
        <v>46</v>
      </c>
      <c r="AF917" t="s">
        <v>64</v>
      </c>
      <c r="AG917" t="s">
        <v>99</v>
      </c>
      <c r="AH917" s="2" t="s">
        <v>43</v>
      </c>
    </row>
    <row r="918" spans="1:34" ht="75">
      <c r="A918" s="6" t="s">
        <v>390</v>
      </c>
      <c r="B918" s="7">
        <v>46050</v>
      </c>
      <c r="C918" s="9" t="str">
        <f>HYPERLINK("https://eping.wto.org/en/Search?viewData= G/TBT/N/BDI/197/Add.3, G/TBT/N/KEN/1188/Add.3, G/TBT/N/RWA/588/Add.3, G/TBT/N/TZA/685/Add.3, G/TBT/N/UGA/1527/Add.3"," G/TBT/N/BDI/197/Add.3, G/TBT/N/KEN/1188/Add.3, G/TBT/N/RWA/588/Add.3, G/TBT/N/TZA/685/Add.3, G/TBT/N/UGA/1527/Add.3")</f>
        <v xml:space="preserve"> G/TBT/N/BDI/197/Add.3, G/TBT/N/KEN/1188/Add.3, G/TBT/N/RWA/588/Add.3, G/TBT/N/TZA/685/Add.3, G/TBT/N/UGA/1527/Add.3</v>
      </c>
      <c r="D918" s="8" t="s">
        <v>3710</v>
      </c>
      <c r="E918" s="8" t="s">
        <v>3711</v>
      </c>
      <c r="F918" s="8" t="s">
        <v>3712</v>
      </c>
      <c r="G918" s="8" t="s">
        <v>3713</v>
      </c>
      <c r="H918" s="8" t="s">
        <v>3714</v>
      </c>
      <c r="I918" s="8" t="s">
        <v>2854</v>
      </c>
      <c r="J918" s="8" t="s">
        <v>43</v>
      </c>
      <c r="K918" s="8" t="s">
        <v>43</v>
      </c>
      <c r="L918" s="6"/>
      <c r="M918" s="7" t="s">
        <v>43</v>
      </c>
      <c r="N918" s="7"/>
      <c r="O918" s="7"/>
      <c r="P918" s="6" t="s">
        <v>44</v>
      </c>
      <c r="Q918" s="6"/>
      <c r="R918" t="str">
        <f>HYPERLINK("https://docs.wto.org/imrd/directdoc.asp?DDFDocuments/t/G/TBTN21/BDI197A3.docx", "https://docs.wto.org/imrd/directdoc.asp?DDFDocuments/t/G/TBTN21/BDI197A3.docx")</f>
        <v>https://docs.wto.org/imrd/directdoc.asp?DDFDocuments/t/G/TBTN21/BDI197A3.docx</v>
      </c>
      <c r="S918" t="str">
        <f>HYPERLINK("https://docs.wto.org/imrd/directdoc.asp?DDFDocuments/u/G/TBTN21/BDI197A3.docx", "https://docs.wto.org/imrd/directdoc.asp?DDFDocuments/u/G/TBTN21/BDI197A3.docx")</f>
        <v>https://docs.wto.org/imrd/directdoc.asp?DDFDocuments/u/G/TBTN21/BDI197A3.docx</v>
      </c>
      <c r="T918" t="str">
        <f>HYPERLINK("https://docs.wto.org/imrd/directdoc.asp?DDFDocuments/v/G/TBTN21/BDI197A3.docx", "https://docs.wto.org/imrd/directdoc.asp?DDFDocuments/v/G/TBTN21/BDI197A3.docx")</f>
        <v>https://docs.wto.org/imrd/directdoc.asp?DDFDocuments/v/G/TBTN21/BDI197A3.docx</v>
      </c>
      <c r="U918" t="s">
        <v>64</v>
      </c>
      <c r="V918" t="s">
        <v>46</v>
      </c>
      <c r="W918" t="s">
        <v>64</v>
      </c>
      <c r="X918" t="s">
        <v>46</v>
      </c>
      <c r="Y918" t="s">
        <v>46</v>
      </c>
      <c r="Z918" t="s">
        <v>46</v>
      </c>
      <c r="AA918" t="s">
        <v>46</v>
      </c>
      <c r="AB918" s="2" t="s">
        <v>43</v>
      </c>
      <c r="AC918" t="s">
        <v>43</v>
      </c>
      <c r="AD918" t="s">
        <v>43</v>
      </c>
      <c r="AE918" t="s">
        <v>43</v>
      </c>
      <c r="AF918" t="s">
        <v>43</v>
      </c>
      <c r="AG918" t="s">
        <v>43</v>
      </c>
      <c r="AH918" s="2" t="s">
        <v>43</v>
      </c>
    </row>
    <row r="919" spans="1:34" ht="30">
      <c r="A919" s="6" t="s">
        <v>325</v>
      </c>
      <c r="B919" s="7">
        <v>46050</v>
      </c>
      <c r="C919" s="9" t="str">
        <f>HYPERLINK("https://eping.wto.org/en/Search?viewData= G/SPS/N/TPKM/657/Corr.1"," G/SPS/N/TPKM/657/Corr.1")</f>
        <v xml:space="preserve"> G/SPS/N/TPKM/657/Corr.1</v>
      </c>
      <c r="D919" s="8" t="s">
        <v>3715</v>
      </c>
      <c r="E919" s="8" t="s">
        <v>3716</v>
      </c>
      <c r="F919" s="8" t="s">
        <v>2983</v>
      </c>
      <c r="G919" s="8" t="s">
        <v>43</v>
      </c>
      <c r="H919" s="8" t="s">
        <v>43</v>
      </c>
      <c r="I919" s="8" t="s">
        <v>94</v>
      </c>
      <c r="J919" s="8" t="s">
        <v>43</v>
      </c>
      <c r="K919" s="8" t="s">
        <v>3717</v>
      </c>
      <c r="L919" s="6"/>
      <c r="M919" s="7" t="s">
        <v>43</v>
      </c>
      <c r="N919" s="7"/>
      <c r="O919" s="7"/>
      <c r="P919" s="6" t="s">
        <v>296</v>
      </c>
      <c r="Q919" s="6"/>
      <c r="R919" t="str">
        <f>HYPERLINK("https://docs.wto.org/imrd/directdoc.asp?DDFDocuments/t/G/SPS/NTPKM657C1.docx", "https://docs.wto.org/imrd/directdoc.asp?DDFDocuments/t/G/SPS/NTPKM657C1.docx")</f>
        <v>https://docs.wto.org/imrd/directdoc.asp?DDFDocuments/t/G/SPS/NTPKM657C1.docx</v>
      </c>
      <c r="S919" t="str">
        <f>HYPERLINK("https://docs.wto.org/imrd/directdoc.asp?DDFDocuments/u/G/SPS/NTPKM657C1.docx", "https://docs.wto.org/imrd/directdoc.asp?DDFDocuments/u/G/SPS/NTPKM657C1.docx")</f>
        <v>https://docs.wto.org/imrd/directdoc.asp?DDFDocuments/u/G/SPS/NTPKM657C1.docx</v>
      </c>
      <c r="T919" t="str">
        <f>HYPERLINK("https://docs.wto.org/imrd/directdoc.asp?DDFDocuments/v/G/SPS/NTPKM657C1.docx", "https://docs.wto.org/imrd/directdoc.asp?DDFDocuments/v/G/SPS/NTPKM657C1.docx")</f>
        <v>https://docs.wto.org/imrd/directdoc.asp?DDFDocuments/v/G/SPS/NTPKM657C1.docx</v>
      </c>
      <c r="U919" t="s">
        <v>43</v>
      </c>
      <c r="V919" t="s">
        <v>43</v>
      </c>
      <c r="W919" t="s">
        <v>43</v>
      </c>
      <c r="X919" t="s">
        <v>43</v>
      </c>
      <c r="Y919" t="s">
        <v>43</v>
      </c>
      <c r="Z919" t="s">
        <v>43</v>
      </c>
      <c r="AA919" t="s">
        <v>43</v>
      </c>
      <c r="AB919" s="2" t="s">
        <v>43</v>
      </c>
      <c r="AC919" t="s">
        <v>43</v>
      </c>
      <c r="AD919" t="s">
        <v>43</v>
      </c>
      <c r="AE919" t="s">
        <v>43</v>
      </c>
      <c r="AF919" t="s">
        <v>43</v>
      </c>
      <c r="AG919" t="s">
        <v>43</v>
      </c>
      <c r="AH919" s="2" t="s">
        <v>43</v>
      </c>
    </row>
    <row r="920" spans="1:34" ht="60">
      <c r="A920" s="6" t="s">
        <v>185</v>
      </c>
      <c r="B920" s="7">
        <v>46050</v>
      </c>
      <c r="C920" s="9" t="str">
        <f>HYPERLINK("https://eping.wto.org/en/Search?viewData= G/TBT/N/CHN/2194"," G/TBT/N/CHN/2194")</f>
        <v xml:space="preserve"> G/TBT/N/CHN/2194</v>
      </c>
      <c r="D920" s="8" t="s">
        <v>3718</v>
      </c>
      <c r="E920" s="8" t="s">
        <v>3719</v>
      </c>
      <c r="F920" s="8" t="s">
        <v>3720</v>
      </c>
      <c r="G920" s="8" t="s">
        <v>3721</v>
      </c>
      <c r="H920" s="8" t="s">
        <v>412</v>
      </c>
      <c r="I920" s="8" t="s">
        <v>413</v>
      </c>
      <c r="J920" s="8" t="s">
        <v>43</v>
      </c>
      <c r="K920" s="8" t="s">
        <v>43</v>
      </c>
      <c r="L920" s="6"/>
      <c r="M920" s="7">
        <v>46110</v>
      </c>
      <c r="N920" s="7" t="s">
        <v>79</v>
      </c>
      <c r="O920" s="7" t="s">
        <v>414</v>
      </c>
      <c r="P920" s="6" t="s">
        <v>62</v>
      </c>
      <c r="Q920" s="8" t="s">
        <v>3722</v>
      </c>
      <c r="R920" t="str">
        <f>HYPERLINK("https://docs.wto.org/imrd/directdoc.asp?DDFDocuments/t/G/TBTN26/CHN2194.docx", "https://docs.wto.org/imrd/directdoc.asp?DDFDocuments/t/G/TBTN26/CHN2194.docx")</f>
        <v>https://docs.wto.org/imrd/directdoc.asp?DDFDocuments/t/G/TBTN26/CHN2194.docx</v>
      </c>
      <c r="S920" t="str">
        <f>HYPERLINK("https://docs.wto.org/imrd/directdoc.asp?DDFDocuments/u/G/TBTN26/CHN2194.docx", "https://docs.wto.org/imrd/directdoc.asp?DDFDocuments/u/G/TBTN26/CHN2194.docx")</f>
        <v>https://docs.wto.org/imrd/directdoc.asp?DDFDocuments/u/G/TBTN26/CHN2194.docx</v>
      </c>
      <c r="T920" t="str">
        <f>HYPERLINK("https://docs.wto.org/imrd/directdoc.asp?DDFDocuments/v/G/TBTN26/CHN2194.docx", "https://docs.wto.org/imrd/directdoc.asp?DDFDocuments/v/G/TBTN26/CHN2194.docx")</f>
        <v>https://docs.wto.org/imrd/directdoc.asp?DDFDocuments/v/G/TBTN26/CHN2194.docx</v>
      </c>
      <c r="U920" t="s">
        <v>64</v>
      </c>
      <c r="V920" t="s">
        <v>46</v>
      </c>
      <c r="W920" t="s">
        <v>46</v>
      </c>
      <c r="X920" t="s">
        <v>46</v>
      </c>
      <c r="Y920" t="s">
        <v>46</v>
      </c>
      <c r="Z920" t="s">
        <v>46</v>
      </c>
      <c r="AA920" t="s">
        <v>46</v>
      </c>
      <c r="AB920" s="2" t="s">
        <v>43</v>
      </c>
      <c r="AC920" t="s">
        <v>43</v>
      </c>
      <c r="AD920" t="s">
        <v>43</v>
      </c>
      <c r="AE920" t="s">
        <v>43</v>
      </c>
      <c r="AF920" t="s">
        <v>43</v>
      </c>
      <c r="AG920" t="s">
        <v>43</v>
      </c>
      <c r="AH920" s="2" t="s">
        <v>43</v>
      </c>
    </row>
    <row r="921" spans="1:34" ht="409.5">
      <c r="A921" s="6" t="s">
        <v>82</v>
      </c>
      <c r="B921" s="7">
        <v>46050</v>
      </c>
      <c r="C921" s="9" t="str">
        <f>HYPERLINK("https://eping.wto.org/en/Search?viewData= G/SPS/N/JPN/1341/Add.1"," G/SPS/N/JPN/1341/Add.1")</f>
        <v xml:space="preserve"> G/SPS/N/JPN/1341/Add.1</v>
      </c>
      <c r="D921" s="8" t="s">
        <v>3423</v>
      </c>
      <c r="E921" s="8" t="s">
        <v>3723</v>
      </c>
      <c r="F921" s="8" t="s">
        <v>3724</v>
      </c>
      <c r="G921" s="8" t="s">
        <v>3725</v>
      </c>
      <c r="H921" s="8" t="s">
        <v>43</v>
      </c>
      <c r="I921" s="8" t="s">
        <v>58</v>
      </c>
      <c r="J921" s="8" t="s">
        <v>43</v>
      </c>
      <c r="K921" s="8" t="s">
        <v>3427</v>
      </c>
      <c r="L921" s="6"/>
      <c r="M921" s="7" t="s">
        <v>43</v>
      </c>
      <c r="N921" s="7"/>
      <c r="O921" s="7"/>
      <c r="P921" s="6" t="s">
        <v>44</v>
      </c>
      <c r="Q921" s="8" t="s">
        <v>3726</v>
      </c>
      <c r="R921" t="str">
        <f>HYPERLINK("https://docs.wto.org/imrd/directdoc.asp?DDFDocuments/t/G/SPS/NJPN1341A1.docx", "https://docs.wto.org/imrd/directdoc.asp?DDFDocuments/t/G/SPS/NJPN1341A1.docx")</f>
        <v>https://docs.wto.org/imrd/directdoc.asp?DDFDocuments/t/G/SPS/NJPN1341A1.docx</v>
      </c>
      <c r="S921" t="str">
        <f>HYPERLINK("https://docs.wto.org/imrd/directdoc.asp?DDFDocuments/u/G/SPS/NJPN1341A1.docx", "https://docs.wto.org/imrd/directdoc.asp?DDFDocuments/u/G/SPS/NJPN1341A1.docx")</f>
        <v>https://docs.wto.org/imrd/directdoc.asp?DDFDocuments/u/G/SPS/NJPN1341A1.docx</v>
      </c>
      <c r="T921" t="str">
        <f>HYPERLINK("https://docs.wto.org/imrd/directdoc.asp?DDFDocuments/v/G/SPS/NJPN1341A1.docx", "https://docs.wto.org/imrd/directdoc.asp?DDFDocuments/v/G/SPS/NJPN1341A1.docx")</f>
        <v>https://docs.wto.org/imrd/directdoc.asp?DDFDocuments/v/G/SPS/NJPN1341A1.docx</v>
      </c>
      <c r="U921" t="s">
        <v>43</v>
      </c>
      <c r="V921" t="s">
        <v>43</v>
      </c>
      <c r="W921" t="s">
        <v>43</v>
      </c>
      <c r="X921" t="s">
        <v>43</v>
      </c>
      <c r="Y921" t="s">
        <v>43</v>
      </c>
      <c r="Z921" t="s">
        <v>43</v>
      </c>
      <c r="AA921" t="s">
        <v>43</v>
      </c>
      <c r="AB921" s="2" t="s">
        <v>43</v>
      </c>
      <c r="AC921" t="s">
        <v>43</v>
      </c>
      <c r="AD921" t="s">
        <v>43</v>
      </c>
      <c r="AE921" t="s">
        <v>43</v>
      </c>
      <c r="AF921" t="s">
        <v>43</v>
      </c>
      <c r="AG921" t="s">
        <v>43</v>
      </c>
      <c r="AH921" s="2" t="s">
        <v>43</v>
      </c>
    </row>
    <row r="922" spans="1:34" ht="75">
      <c r="A922" s="6" t="s">
        <v>356</v>
      </c>
      <c r="B922" s="7">
        <v>46050</v>
      </c>
      <c r="C922" s="9" t="str">
        <f>HYPERLINK("https://eping.wto.org/en/Search?viewData= G/SPS/N/EU/857/Add.1"," G/SPS/N/EU/857/Add.1")</f>
        <v xml:space="preserve"> G/SPS/N/EU/857/Add.1</v>
      </c>
      <c r="D922" s="8" t="s">
        <v>3727</v>
      </c>
      <c r="E922" s="8" t="s">
        <v>3728</v>
      </c>
      <c r="F922" s="8" t="s">
        <v>359</v>
      </c>
      <c r="G922" s="8" t="s">
        <v>360</v>
      </c>
      <c r="H922" s="8" t="s">
        <v>43</v>
      </c>
      <c r="I922" s="8" t="s">
        <v>361</v>
      </c>
      <c r="J922" s="8" t="s">
        <v>43</v>
      </c>
      <c r="K922" s="8" t="s">
        <v>379</v>
      </c>
      <c r="L922" s="6"/>
      <c r="M922" s="7" t="s">
        <v>43</v>
      </c>
      <c r="N922" s="7"/>
      <c r="O922" s="7"/>
      <c r="P922" s="6" t="s">
        <v>44</v>
      </c>
      <c r="Q922" s="8" t="s">
        <v>3729</v>
      </c>
      <c r="R922" t="str">
        <f>HYPERLINK("https://docs.wto.org/imrd/directdoc.asp?DDFDocuments/t/G/SPS/NEU857A1.docx", "https://docs.wto.org/imrd/directdoc.asp?DDFDocuments/t/G/SPS/NEU857A1.docx")</f>
        <v>https://docs.wto.org/imrd/directdoc.asp?DDFDocuments/t/G/SPS/NEU857A1.docx</v>
      </c>
      <c r="S922" t="str">
        <f>HYPERLINK("https://docs.wto.org/imrd/directdoc.asp?DDFDocuments/u/G/SPS/NEU857A1.docx", "https://docs.wto.org/imrd/directdoc.asp?DDFDocuments/u/G/SPS/NEU857A1.docx")</f>
        <v>https://docs.wto.org/imrd/directdoc.asp?DDFDocuments/u/G/SPS/NEU857A1.docx</v>
      </c>
      <c r="T922" t="str">
        <f>HYPERLINK("https://docs.wto.org/imrd/directdoc.asp?DDFDocuments/v/G/SPS/NEU857A1.docx", "https://docs.wto.org/imrd/directdoc.asp?DDFDocuments/v/G/SPS/NEU857A1.docx")</f>
        <v>https://docs.wto.org/imrd/directdoc.asp?DDFDocuments/v/G/SPS/NEU857A1.docx</v>
      </c>
      <c r="U922" t="s">
        <v>43</v>
      </c>
      <c r="V922" t="s">
        <v>43</v>
      </c>
      <c r="W922" t="s">
        <v>43</v>
      </c>
      <c r="X922" t="s">
        <v>43</v>
      </c>
      <c r="Y922" t="s">
        <v>43</v>
      </c>
      <c r="Z922" t="s">
        <v>43</v>
      </c>
      <c r="AA922" t="s">
        <v>43</v>
      </c>
      <c r="AB922" s="2" t="s">
        <v>43</v>
      </c>
      <c r="AC922" t="s">
        <v>43</v>
      </c>
      <c r="AD922" t="s">
        <v>43</v>
      </c>
      <c r="AE922" t="s">
        <v>43</v>
      </c>
      <c r="AF922" t="s">
        <v>43</v>
      </c>
      <c r="AG922" t="s">
        <v>43</v>
      </c>
      <c r="AH922" s="2" t="s">
        <v>43</v>
      </c>
    </row>
    <row r="923" spans="1:34" ht="90">
      <c r="A923" s="6" t="s">
        <v>108</v>
      </c>
      <c r="B923" s="7">
        <v>46050</v>
      </c>
      <c r="C923" s="9" t="str">
        <f>HYPERLINK("https://eping.wto.org/en/Search?viewData= G/TBT/N/BDI/275/Add.3, G/TBT/N/KEN/1309/Add.3, G/TBT/N/RWA/709/Add.3, G/TBT/N/TZA/828/Add.3, G/TBT/N/UGA/1683/Add.3"," G/TBT/N/BDI/275/Add.3, G/TBT/N/KEN/1309/Add.3, G/TBT/N/RWA/709/Add.3, G/TBT/N/TZA/828/Add.3, G/TBT/N/UGA/1683/Add.3")</f>
        <v xml:space="preserve"> G/TBT/N/BDI/275/Add.3, G/TBT/N/KEN/1309/Add.3, G/TBT/N/RWA/709/Add.3, G/TBT/N/TZA/828/Add.3, G/TBT/N/UGA/1683/Add.3</v>
      </c>
      <c r="D923" s="8" t="s">
        <v>3730</v>
      </c>
      <c r="E923" s="8" t="s">
        <v>3731</v>
      </c>
      <c r="F923" s="8" t="s">
        <v>3732</v>
      </c>
      <c r="G923" s="8" t="s">
        <v>3733</v>
      </c>
      <c r="H923" s="8" t="s">
        <v>3269</v>
      </c>
      <c r="I923" s="8" t="s">
        <v>2827</v>
      </c>
      <c r="J923" s="8" t="s">
        <v>43</v>
      </c>
      <c r="K923" s="8" t="s">
        <v>43</v>
      </c>
      <c r="L923" s="6"/>
      <c r="M923" s="7" t="s">
        <v>43</v>
      </c>
      <c r="N923" s="7"/>
      <c r="O923" s="7"/>
      <c r="P923" s="6" t="s">
        <v>44</v>
      </c>
      <c r="Q923" s="6"/>
      <c r="R923" t="str">
        <f>HYPERLINK("https://docs.wto.org/imrd/directdoc.asp?DDFDocuments/t/G/TBTN22/BDI275A3.docx", "https://docs.wto.org/imrd/directdoc.asp?DDFDocuments/t/G/TBTN22/BDI275A3.docx")</f>
        <v>https://docs.wto.org/imrd/directdoc.asp?DDFDocuments/t/G/TBTN22/BDI275A3.docx</v>
      </c>
      <c r="S923" t="str">
        <f>HYPERLINK("https://docs.wto.org/imrd/directdoc.asp?DDFDocuments/u/G/TBTN22/BDI275A3.docx", "https://docs.wto.org/imrd/directdoc.asp?DDFDocuments/u/G/TBTN22/BDI275A3.docx")</f>
        <v>https://docs.wto.org/imrd/directdoc.asp?DDFDocuments/u/G/TBTN22/BDI275A3.docx</v>
      </c>
      <c r="T923" t="str">
        <f>HYPERLINK("https://docs.wto.org/imrd/directdoc.asp?DDFDocuments/v/G/TBTN22/BDI275A3.docx", "https://docs.wto.org/imrd/directdoc.asp?DDFDocuments/v/G/TBTN22/BDI275A3.docx")</f>
        <v>https://docs.wto.org/imrd/directdoc.asp?DDFDocuments/v/G/TBTN22/BDI275A3.docx</v>
      </c>
      <c r="U923" t="s">
        <v>64</v>
      </c>
      <c r="V923" t="s">
        <v>46</v>
      </c>
      <c r="W923" t="s">
        <v>64</v>
      </c>
      <c r="X923" t="s">
        <v>46</v>
      </c>
      <c r="Y923" t="s">
        <v>46</v>
      </c>
      <c r="Z923" t="s">
        <v>46</v>
      </c>
      <c r="AA923" t="s">
        <v>46</v>
      </c>
      <c r="AB923" s="2" t="s">
        <v>43</v>
      </c>
      <c r="AC923" t="s">
        <v>43</v>
      </c>
      <c r="AD923" t="s">
        <v>43</v>
      </c>
      <c r="AE923" t="s">
        <v>43</v>
      </c>
      <c r="AF923" t="s">
        <v>43</v>
      </c>
      <c r="AG923" t="s">
        <v>43</v>
      </c>
      <c r="AH923" s="2" t="s">
        <v>43</v>
      </c>
    </row>
    <row r="924" spans="1:34" ht="60">
      <c r="A924" s="6" t="s">
        <v>390</v>
      </c>
      <c r="B924" s="7">
        <v>46050</v>
      </c>
      <c r="C924" s="9" t="str">
        <f>HYPERLINK("https://eping.wto.org/en/Search?viewData= G/TBT/N/BDI/152/Add.3, G/TBT/N/RWA/531/Add.3, G/TBT/N/TZA/641/Add.3, G/TBT/N/UGA/1441/Add.3"," G/TBT/N/BDI/152/Add.3, G/TBT/N/RWA/531/Add.3, G/TBT/N/TZA/641/Add.3, G/TBT/N/UGA/1441/Add.3")</f>
        <v xml:space="preserve"> G/TBT/N/BDI/152/Add.3, G/TBT/N/RWA/531/Add.3, G/TBT/N/TZA/641/Add.3, G/TBT/N/UGA/1441/Add.3</v>
      </c>
      <c r="D924" s="8" t="s">
        <v>3734</v>
      </c>
      <c r="E924" s="8" t="s">
        <v>3735</v>
      </c>
      <c r="F924" s="8" t="s">
        <v>3736</v>
      </c>
      <c r="G924" s="8" t="s">
        <v>3737</v>
      </c>
      <c r="H924" s="8" t="s">
        <v>3714</v>
      </c>
      <c r="I924" s="8" t="s">
        <v>1035</v>
      </c>
      <c r="J924" s="8" t="s">
        <v>43</v>
      </c>
      <c r="K924" s="8" t="s">
        <v>350</v>
      </c>
      <c r="L924" s="6"/>
      <c r="M924" s="7" t="s">
        <v>43</v>
      </c>
      <c r="N924" s="7"/>
      <c r="O924" s="7"/>
      <c r="P924" s="6" t="s">
        <v>44</v>
      </c>
      <c r="Q924" s="6"/>
      <c r="R924" t="str">
        <f>HYPERLINK("https://docs.wto.org/imrd/directdoc.asp?DDFDocuments/t/G/TBTN21/BDI152A3.docx", "https://docs.wto.org/imrd/directdoc.asp?DDFDocuments/t/G/TBTN21/BDI152A3.docx")</f>
        <v>https://docs.wto.org/imrd/directdoc.asp?DDFDocuments/t/G/TBTN21/BDI152A3.docx</v>
      </c>
      <c r="S924" t="str">
        <f>HYPERLINK("https://docs.wto.org/imrd/directdoc.asp?DDFDocuments/u/G/TBTN21/BDI152A3.docx", "https://docs.wto.org/imrd/directdoc.asp?DDFDocuments/u/G/TBTN21/BDI152A3.docx")</f>
        <v>https://docs.wto.org/imrd/directdoc.asp?DDFDocuments/u/G/TBTN21/BDI152A3.docx</v>
      </c>
      <c r="T924" t="str">
        <f>HYPERLINK("https://docs.wto.org/imrd/directdoc.asp?DDFDocuments/v/G/TBTN21/BDI152A3.docx", "https://docs.wto.org/imrd/directdoc.asp?DDFDocuments/v/G/TBTN21/BDI152A3.docx")</f>
        <v>https://docs.wto.org/imrd/directdoc.asp?DDFDocuments/v/G/TBTN21/BDI152A3.docx</v>
      </c>
      <c r="U924" t="s">
        <v>64</v>
      </c>
      <c r="V924" t="s">
        <v>46</v>
      </c>
      <c r="W924" t="s">
        <v>64</v>
      </c>
      <c r="X924" t="s">
        <v>46</v>
      </c>
      <c r="Y924" t="s">
        <v>46</v>
      </c>
      <c r="Z924" t="s">
        <v>46</v>
      </c>
      <c r="AA924" t="s">
        <v>46</v>
      </c>
      <c r="AB924" s="2" t="s">
        <v>43</v>
      </c>
      <c r="AC924" t="s">
        <v>43</v>
      </c>
      <c r="AD924" t="s">
        <v>43</v>
      </c>
      <c r="AE924" t="s">
        <v>43</v>
      </c>
      <c r="AF924" t="s">
        <v>43</v>
      </c>
      <c r="AG924" t="s">
        <v>43</v>
      </c>
      <c r="AH924" s="2" t="s">
        <v>43</v>
      </c>
    </row>
    <row r="925" spans="1:34" ht="60">
      <c r="A925" s="6" t="s">
        <v>185</v>
      </c>
      <c r="B925" s="7">
        <v>46050</v>
      </c>
      <c r="C925" s="9" t="str">
        <f>HYPERLINK("https://eping.wto.org/en/Search?viewData= G/TBT/N/CHN/2195"," G/TBT/N/CHN/2195")</f>
        <v xml:space="preserve"> G/TBT/N/CHN/2195</v>
      </c>
      <c r="D925" s="8" t="s">
        <v>3738</v>
      </c>
      <c r="E925" s="8" t="s">
        <v>3739</v>
      </c>
      <c r="F925" s="8" t="s">
        <v>3740</v>
      </c>
      <c r="G925" s="8" t="s">
        <v>3741</v>
      </c>
      <c r="H925" s="8" t="s">
        <v>412</v>
      </c>
      <c r="I925" s="8" t="s">
        <v>413</v>
      </c>
      <c r="J925" s="8" t="s">
        <v>43</v>
      </c>
      <c r="K925" s="8" t="s">
        <v>43</v>
      </c>
      <c r="L925" s="6"/>
      <c r="M925" s="7">
        <v>46110</v>
      </c>
      <c r="N925" s="7" t="s">
        <v>79</v>
      </c>
      <c r="O925" s="7" t="s">
        <v>414</v>
      </c>
      <c r="P925" s="6" t="s">
        <v>62</v>
      </c>
      <c r="Q925" s="8" t="s">
        <v>3742</v>
      </c>
      <c r="R925" t="str">
        <f>HYPERLINK("https://docs.wto.org/imrd/directdoc.asp?DDFDocuments/t/G/TBTN26/CHN2195.docx", "https://docs.wto.org/imrd/directdoc.asp?DDFDocuments/t/G/TBTN26/CHN2195.docx")</f>
        <v>https://docs.wto.org/imrd/directdoc.asp?DDFDocuments/t/G/TBTN26/CHN2195.docx</v>
      </c>
      <c r="S925" t="str">
        <f>HYPERLINK("https://docs.wto.org/imrd/directdoc.asp?DDFDocuments/u/G/TBTN26/CHN2195.docx", "https://docs.wto.org/imrd/directdoc.asp?DDFDocuments/u/G/TBTN26/CHN2195.docx")</f>
        <v>https://docs.wto.org/imrd/directdoc.asp?DDFDocuments/u/G/TBTN26/CHN2195.docx</v>
      </c>
      <c r="T925" t="str">
        <f>HYPERLINK("https://docs.wto.org/imrd/directdoc.asp?DDFDocuments/v/G/TBTN26/CHN2195.docx", "https://docs.wto.org/imrd/directdoc.asp?DDFDocuments/v/G/TBTN26/CHN2195.docx")</f>
        <v>https://docs.wto.org/imrd/directdoc.asp?DDFDocuments/v/G/TBTN26/CHN2195.docx</v>
      </c>
      <c r="U925" t="s">
        <v>64</v>
      </c>
      <c r="V925" t="s">
        <v>46</v>
      </c>
      <c r="W925" t="s">
        <v>46</v>
      </c>
      <c r="X925" t="s">
        <v>46</v>
      </c>
      <c r="Y925" t="s">
        <v>46</v>
      </c>
      <c r="Z925" t="s">
        <v>46</v>
      </c>
      <c r="AA925" t="s">
        <v>46</v>
      </c>
      <c r="AB925" s="2" t="s">
        <v>43</v>
      </c>
      <c r="AC925" t="s">
        <v>43</v>
      </c>
      <c r="AD925" t="s">
        <v>43</v>
      </c>
      <c r="AE925" t="s">
        <v>43</v>
      </c>
      <c r="AF925" t="s">
        <v>43</v>
      </c>
      <c r="AG925" t="s">
        <v>43</v>
      </c>
      <c r="AH925" s="2" t="s">
        <v>43</v>
      </c>
    </row>
    <row r="926" spans="1:34" ht="90">
      <c r="A926" s="6" t="s">
        <v>185</v>
      </c>
      <c r="B926" s="7">
        <v>46050</v>
      </c>
      <c r="C926" s="9" t="str">
        <f>HYPERLINK("https://eping.wto.org/en/Search?viewData= G/TBT/N/CHN/2197"," G/TBT/N/CHN/2197")</f>
        <v xml:space="preserve"> G/TBT/N/CHN/2197</v>
      </c>
      <c r="D926" s="8" t="s">
        <v>3743</v>
      </c>
      <c r="E926" s="8" t="s">
        <v>3744</v>
      </c>
      <c r="F926" s="8" t="s">
        <v>3745</v>
      </c>
      <c r="G926" s="8" t="s">
        <v>3746</v>
      </c>
      <c r="H926" s="8" t="s">
        <v>3747</v>
      </c>
      <c r="I926" s="8" t="s">
        <v>129</v>
      </c>
      <c r="J926" s="8" t="s">
        <v>43</v>
      </c>
      <c r="K926" s="8" t="s">
        <v>43</v>
      </c>
      <c r="L926" s="6"/>
      <c r="M926" s="7">
        <v>46110</v>
      </c>
      <c r="N926" s="7" t="s">
        <v>79</v>
      </c>
      <c r="O926" s="7" t="s">
        <v>3748</v>
      </c>
      <c r="P926" s="6" t="s">
        <v>62</v>
      </c>
      <c r="Q926" s="8" t="s">
        <v>3749</v>
      </c>
      <c r="R926" t="str">
        <f>HYPERLINK("https://docs.wto.org/imrd/directdoc.asp?DDFDocuments/t/G/TBTN26/CHN2197.docx", "https://docs.wto.org/imrd/directdoc.asp?DDFDocuments/t/G/TBTN26/CHN2197.docx")</f>
        <v>https://docs.wto.org/imrd/directdoc.asp?DDFDocuments/t/G/TBTN26/CHN2197.docx</v>
      </c>
      <c r="S926" t="str">
        <f>HYPERLINK("https://docs.wto.org/imrd/directdoc.asp?DDFDocuments/u/G/TBTN26/CHN2197.docx", "https://docs.wto.org/imrd/directdoc.asp?DDFDocuments/u/G/TBTN26/CHN2197.docx")</f>
        <v>https://docs.wto.org/imrd/directdoc.asp?DDFDocuments/u/G/TBTN26/CHN2197.docx</v>
      </c>
      <c r="T926" t="str">
        <f>HYPERLINK("https://docs.wto.org/imrd/directdoc.asp?DDFDocuments/v/G/TBTN26/CHN2197.docx", "https://docs.wto.org/imrd/directdoc.asp?DDFDocuments/v/G/TBTN26/CHN2197.docx")</f>
        <v>https://docs.wto.org/imrd/directdoc.asp?DDFDocuments/v/G/TBTN26/CHN2197.docx</v>
      </c>
      <c r="U926" t="s">
        <v>64</v>
      </c>
      <c r="V926" t="s">
        <v>46</v>
      </c>
      <c r="W926" t="s">
        <v>46</v>
      </c>
      <c r="X926" t="s">
        <v>46</v>
      </c>
      <c r="Y926" t="s">
        <v>46</v>
      </c>
      <c r="Z926" t="s">
        <v>46</v>
      </c>
      <c r="AA926" t="s">
        <v>46</v>
      </c>
      <c r="AB926" s="2" t="s">
        <v>43</v>
      </c>
      <c r="AC926" t="s">
        <v>43</v>
      </c>
      <c r="AD926" t="s">
        <v>43</v>
      </c>
      <c r="AE926" t="s">
        <v>43</v>
      </c>
      <c r="AF926" t="s">
        <v>43</v>
      </c>
      <c r="AG926" t="s">
        <v>43</v>
      </c>
      <c r="AH926" s="2" t="s">
        <v>43</v>
      </c>
    </row>
    <row r="927" spans="1:34" ht="409.5">
      <c r="A927" s="6" t="s">
        <v>82</v>
      </c>
      <c r="B927" s="7">
        <v>46050</v>
      </c>
      <c r="C927" s="9" t="str">
        <f>HYPERLINK("https://eping.wto.org/en/Search?viewData= G/SPS/N/JPN/1338/Add.1"," G/SPS/N/JPN/1338/Add.1")</f>
        <v xml:space="preserve"> G/SPS/N/JPN/1338/Add.1</v>
      </c>
      <c r="D927" s="8" t="s">
        <v>3423</v>
      </c>
      <c r="E927" s="8" t="s">
        <v>3750</v>
      </c>
      <c r="F927" s="8" t="s">
        <v>3751</v>
      </c>
      <c r="G927" s="8" t="s">
        <v>3752</v>
      </c>
      <c r="H927" s="8" t="s">
        <v>43</v>
      </c>
      <c r="I927" s="8" t="s">
        <v>58</v>
      </c>
      <c r="J927" s="8" t="s">
        <v>43</v>
      </c>
      <c r="K927" s="8" t="s">
        <v>3489</v>
      </c>
      <c r="L927" s="6"/>
      <c r="M927" s="7" t="s">
        <v>43</v>
      </c>
      <c r="N927" s="7"/>
      <c r="O927" s="7"/>
      <c r="P927" s="6" t="s">
        <v>44</v>
      </c>
      <c r="Q927" s="8" t="s">
        <v>3753</v>
      </c>
      <c r="R927" t="str">
        <f>HYPERLINK("https://docs.wto.org/imrd/directdoc.asp?DDFDocuments/t/G/SPS/NJPN1338A1.docx", "https://docs.wto.org/imrd/directdoc.asp?DDFDocuments/t/G/SPS/NJPN1338A1.docx")</f>
        <v>https://docs.wto.org/imrd/directdoc.asp?DDFDocuments/t/G/SPS/NJPN1338A1.docx</v>
      </c>
      <c r="S927" t="str">
        <f>HYPERLINK("https://docs.wto.org/imrd/directdoc.asp?DDFDocuments/u/G/SPS/NJPN1338A1.docx", "https://docs.wto.org/imrd/directdoc.asp?DDFDocuments/u/G/SPS/NJPN1338A1.docx")</f>
        <v>https://docs.wto.org/imrd/directdoc.asp?DDFDocuments/u/G/SPS/NJPN1338A1.docx</v>
      </c>
      <c r="T927" t="str">
        <f>HYPERLINK("https://docs.wto.org/imrd/directdoc.asp?DDFDocuments/v/G/SPS/NJPN1338A1.docx", "https://docs.wto.org/imrd/directdoc.asp?DDFDocuments/v/G/SPS/NJPN1338A1.docx")</f>
        <v>https://docs.wto.org/imrd/directdoc.asp?DDFDocuments/v/G/SPS/NJPN1338A1.docx</v>
      </c>
      <c r="U927" t="s">
        <v>43</v>
      </c>
      <c r="V927" t="s">
        <v>43</v>
      </c>
      <c r="W927" t="s">
        <v>43</v>
      </c>
      <c r="X927" t="s">
        <v>43</v>
      </c>
      <c r="Y927" t="s">
        <v>43</v>
      </c>
      <c r="Z927" t="s">
        <v>43</v>
      </c>
      <c r="AA927" t="s">
        <v>43</v>
      </c>
      <c r="AB927" s="2" t="s">
        <v>43</v>
      </c>
      <c r="AC927" t="s">
        <v>43</v>
      </c>
      <c r="AD927" t="s">
        <v>43</v>
      </c>
      <c r="AE927" t="s">
        <v>43</v>
      </c>
      <c r="AF927" t="s">
        <v>43</v>
      </c>
      <c r="AG927" t="s">
        <v>43</v>
      </c>
      <c r="AH927" s="2" t="s">
        <v>43</v>
      </c>
    </row>
    <row r="928" spans="1:34" ht="409.5">
      <c r="A928" s="6" t="s">
        <v>82</v>
      </c>
      <c r="B928" s="7">
        <v>46050</v>
      </c>
      <c r="C928" s="9" t="str">
        <f>HYPERLINK("https://eping.wto.org/en/Search?viewData= G/SPS/N/JPN/1339/Add.2"," G/SPS/N/JPN/1339/Add.2")</f>
        <v xml:space="preserve"> G/SPS/N/JPN/1339/Add.2</v>
      </c>
      <c r="D928" s="8" t="s">
        <v>3423</v>
      </c>
      <c r="E928" s="8" t="s">
        <v>3754</v>
      </c>
      <c r="F928" s="8" t="s">
        <v>3755</v>
      </c>
      <c r="G928" s="8" t="s">
        <v>3756</v>
      </c>
      <c r="H928" s="8" t="s">
        <v>43</v>
      </c>
      <c r="I928" s="8" t="s">
        <v>58</v>
      </c>
      <c r="J928" s="8" t="s">
        <v>43</v>
      </c>
      <c r="K928" s="8" t="s">
        <v>3489</v>
      </c>
      <c r="L928" s="6"/>
      <c r="M928" s="7" t="s">
        <v>43</v>
      </c>
      <c r="N928" s="7"/>
      <c r="O928" s="7"/>
      <c r="P928" s="6" t="s">
        <v>44</v>
      </c>
      <c r="Q928" s="8" t="s">
        <v>3757</v>
      </c>
      <c r="R928" t="str">
        <f>HYPERLINK("https://docs.wto.org/imrd/directdoc.asp?DDFDocuments/t/G/SPS/NJPN1339A2.docx", "https://docs.wto.org/imrd/directdoc.asp?DDFDocuments/t/G/SPS/NJPN1339A2.docx")</f>
        <v>https://docs.wto.org/imrd/directdoc.asp?DDFDocuments/t/G/SPS/NJPN1339A2.docx</v>
      </c>
      <c r="S928" t="str">
        <f>HYPERLINK("https://docs.wto.org/imrd/directdoc.asp?DDFDocuments/u/G/SPS/NJPN1339A2.docx", "https://docs.wto.org/imrd/directdoc.asp?DDFDocuments/u/G/SPS/NJPN1339A2.docx")</f>
        <v>https://docs.wto.org/imrd/directdoc.asp?DDFDocuments/u/G/SPS/NJPN1339A2.docx</v>
      </c>
      <c r="T928" t="str">
        <f>HYPERLINK("https://docs.wto.org/imrd/directdoc.asp?DDFDocuments/v/G/SPS/NJPN1339A2.docx", "https://docs.wto.org/imrd/directdoc.asp?DDFDocuments/v/G/SPS/NJPN1339A2.docx")</f>
        <v>https://docs.wto.org/imrd/directdoc.asp?DDFDocuments/v/G/SPS/NJPN1339A2.docx</v>
      </c>
      <c r="U928" t="s">
        <v>43</v>
      </c>
      <c r="V928" t="s">
        <v>43</v>
      </c>
      <c r="W928" t="s">
        <v>43</v>
      </c>
      <c r="X928" t="s">
        <v>43</v>
      </c>
      <c r="Y928" t="s">
        <v>43</v>
      </c>
      <c r="Z928" t="s">
        <v>43</v>
      </c>
      <c r="AA928" t="s">
        <v>43</v>
      </c>
      <c r="AB928" s="2" t="s">
        <v>43</v>
      </c>
      <c r="AC928" t="s">
        <v>43</v>
      </c>
      <c r="AD928" t="s">
        <v>43</v>
      </c>
      <c r="AE928" t="s">
        <v>43</v>
      </c>
      <c r="AF928" t="s">
        <v>43</v>
      </c>
      <c r="AG928" t="s">
        <v>43</v>
      </c>
      <c r="AH928" s="2" t="s">
        <v>43</v>
      </c>
    </row>
    <row r="929" spans="1:34" ht="90">
      <c r="A929" s="6" t="s">
        <v>108</v>
      </c>
      <c r="B929" s="7">
        <v>46050</v>
      </c>
      <c r="C929" s="9" t="str">
        <f>HYPERLINK("https://eping.wto.org/en/Search?viewData= G/TBT/N/BDI/277/Add.3, G/TBT/N/KEN/1311/Add.3, G/TBT/N/RWA/711/Add.3, G/TBT/N/TZA/830/Add.3, G/TBT/N/UGA/1685/Add.3"," G/TBT/N/BDI/277/Add.3, G/TBT/N/KEN/1311/Add.3, G/TBT/N/RWA/711/Add.3, G/TBT/N/TZA/830/Add.3, G/TBT/N/UGA/1685/Add.3")</f>
        <v xml:space="preserve"> G/TBT/N/BDI/277/Add.3, G/TBT/N/KEN/1311/Add.3, G/TBT/N/RWA/711/Add.3, G/TBT/N/TZA/830/Add.3, G/TBT/N/UGA/1685/Add.3</v>
      </c>
      <c r="D929" s="8" t="s">
        <v>3758</v>
      </c>
      <c r="E929" s="8" t="s">
        <v>3759</v>
      </c>
      <c r="F929" s="8" t="s">
        <v>3760</v>
      </c>
      <c r="G929" s="8" t="s">
        <v>3761</v>
      </c>
      <c r="H929" s="8" t="s">
        <v>3269</v>
      </c>
      <c r="I929" s="8" t="s">
        <v>2827</v>
      </c>
      <c r="J929" s="8" t="s">
        <v>43</v>
      </c>
      <c r="K929" s="8" t="s">
        <v>43</v>
      </c>
      <c r="L929" s="6"/>
      <c r="M929" s="7" t="s">
        <v>43</v>
      </c>
      <c r="N929" s="7"/>
      <c r="O929" s="7"/>
      <c r="P929" s="6" t="s">
        <v>44</v>
      </c>
      <c r="Q929" s="6"/>
      <c r="R929" t="str">
        <f>HYPERLINK("https://docs.wto.org/imrd/directdoc.asp?DDFDocuments/t/G/TBTN22/BDI277A3.docx", "https://docs.wto.org/imrd/directdoc.asp?DDFDocuments/t/G/TBTN22/BDI277A3.docx")</f>
        <v>https://docs.wto.org/imrd/directdoc.asp?DDFDocuments/t/G/TBTN22/BDI277A3.docx</v>
      </c>
      <c r="S929" t="str">
        <f>HYPERLINK("https://docs.wto.org/imrd/directdoc.asp?DDFDocuments/u/G/TBTN22/BDI277A3.docx", "https://docs.wto.org/imrd/directdoc.asp?DDFDocuments/u/G/TBTN22/BDI277A3.docx")</f>
        <v>https://docs.wto.org/imrd/directdoc.asp?DDFDocuments/u/G/TBTN22/BDI277A3.docx</v>
      </c>
      <c r="T929" t="str">
        <f>HYPERLINK("https://docs.wto.org/imrd/directdoc.asp?DDFDocuments/v/G/TBTN22/BDI277A3.docx", "https://docs.wto.org/imrd/directdoc.asp?DDFDocuments/v/G/TBTN22/BDI277A3.docx")</f>
        <v>https://docs.wto.org/imrd/directdoc.asp?DDFDocuments/v/G/TBTN22/BDI277A3.docx</v>
      </c>
      <c r="U929" t="s">
        <v>64</v>
      </c>
      <c r="V929" t="s">
        <v>46</v>
      </c>
      <c r="W929" t="s">
        <v>64</v>
      </c>
      <c r="X929" t="s">
        <v>46</v>
      </c>
      <c r="Y929" t="s">
        <v>46</v>
      </c>
      <c r="Z929" t="s">
        <v>46</v>
      </c>
      <c r="AA929" t="s">
        <v>46</v>
      </c>
      <c r="AB929" s="2" t="s">
        <v>43</v>
      </c>
      <c r="AC929" t="s">
        <v>43</v>
      </c>
      <c r="AD929" t="s">
        <v>43</v>
      </c>
      <c r="AE929" t="s">
        <v>43</v>
      </c>
      <c r="AF929" t="s">
        <v>43</v>
      </c>
      <c r="AG929" t="s">
        <v>43</v>
      </c>
      <c r="AH929" s="2" t="s">
        <v>43</v>
      </c>
    </row>
    <row r="930" spans="1:34" ht="90">
      <c r="A930" s="6" t="s">
        <v>509</v>
      </c>
      <c r="B930" s="7">
        <v>46050</v>
      </c>
      <c r="C930" s="9" t="str">
        <f>HYPERLINK("https://eping.wto.org/en/Search?viewData= G/TBT/N/BDI/152/Add.3, G/TBT/N/RWA/531/Add.3, G/TBT/N/TZA/641/Add.3, G/TBT/N/UGA/1441/Add.3"," G/TBT/N/BDI/152/Add.3, G/TBT/N/RWA/531/Add.3, G/TBT/N/TZA/641/Add.3, G/TBT/N/UGA/1441/Add.3")</f>
        <v xml:space="preserve"> G/TBT/N/BDI/152/Add.3, G/TBT/N/RWA/531/Add.3, G/TBT/N/TZA/641/Add.3, G/TBT/N/UGA/1441/Add.3</v>
      </c>
      <c r="D930" s="8" t="s">
        <v>3734</v>
      </c>
      <c r="E930" s="8" t="s">
        <v>3735</v>
      </c>
      <c r="F930" s="8" t="s">
        <v>3736</v>
      </c>
      <c r="G930" s="8" t="s">
        <v>3737</v>
      </c>
      <c r="H930" s="8" t="s">
        <v>3714</v>
      </c>
      <c r="I930" s="8" t="s">
        <v>3261</v>
      </c>
      <c r="J930" s="8" t="s">
        <v>43</v>
      </c>
      <c r="K930" s="8" t="s">
        <v>350</v>
      </c>
      <c r="L930" s="6"/>
      <c r="M930" s="7" t="s">
        <v>43</v>
      </c>
      <c r="N930" s="7"/>
      <c r="O930" s="7"/>
      <c r="P930" s="6" t="s">
        <v>44</v>
      </c>
      <c r="Q930" s="6"/>
      <c r="R930" t="str">
        <f>HYPERLINK("https://docs.wto.org/imrd/directdoc.asp?DDFDocuments/t/G/TBTN21/BDI152A3.docx", "https://docs.wto.org/imrd/directdoc.asp?DDFDocuments/t/G/TBTN21/BDI152A3.docx")</f>
        <v>https://docs.wto.org/imrd/directdoc.asp?DDFDocuments/t/G/TBTN21/BDI152A3.docx</v>
      </c>
      <c r="S930" t="str">
        <f>HYPERLINK("https://docs.wto.org/imrd/directdoc.asp?DDFDocuments/u/G/TBTN21/BDI152A3.docx", "https://docs.wto.org/imrd/directdoc.asp?DDFDocuments/u/G/TBTN21/BDI152A3.docx")</f>
        <v>https://docs.wto.org/imrd/directdoc.asp?DDFDocuments/u/G/TBTN21/BDI152A3.docx</v>
      </c>
      <c r="T930" t="str">
        <f>HYPERLINK("https://docs.wto.org/imrd/directdoc.asp?DDFDocuments/v/G/TBTN21/BDI152A3.docx", "https://docs.wto.org/imrd/directdoc.asp?DDFDocuments/v/G/TBTN21/BDI152A3.docx")</f>
        <v>https://docs.wto.org/imrd/directdoc.asp?DDFDocuments/v/G/TBTN21/BDI152A3.docx</v>
      </c>
      <c r="U930" t="s">
        <v>64</v>
      </c>
      <c r="V930" t="s">
        <v>46</v>
      </c>
      <c r="W930" t="s">
        <v>64</v>
      </c>
      <c r="X930" t="s">
        <v>46</v>
      </c>
      <c r="Y930" t="s">
        <v>46</v>
      </c>
      <c r="Z930" t="s">
        <v>46</v>
      </c>
      <c r="AA930" t="s">
        <v>46</v>
      </c>
      <c r="AB930" s="2" t="s">
        <v>43</v>
      </c>
      <c r="AC930" t="s">
        <v>43</v>
      </c>
      <c r="AD930" t="s">
        <v>43</v>
      </c>
      <c r="AE930" t="s">
        <v>43</v>
      </c>
      <c r="AF930" t="s">
        <v>43</v>
      </c>
      <c r="AG930" t="s">
        <v>43</v>
      </c>
      <c r="AH930" s="2" t="s">
        <v>43</v>
      </c>
    </row>
    <row r="931" spans="1:34" ht="409.5">
      <c r="A931" s="6" t="s">
        <v>82</v>
      </c>
      <c r="B931" s="7">
        <v>46050</v>
      </c>
      <c r="C931" s="9" t="str">
        <f>HYPERLINK("https://eping.wto.org/en/Search?viewData= G/SPS/N/JPN/1337/Add.1"," G/SPS/N/JPN/1337/Add.1")</f>
        <v xml:space="preserve"> G/SPS/N/JPN/1337/Add.1</v>
      </c>
      <c r="D931" s="8" t="s">
        <v>3423</v>
      </c>
      <c r="E931" s="8" t="s">
        <v>3762</v>
      </c>
      <c r="F931" s="8" t="s">
        <v>3763</v>
      </c>
      <c r="G931" s="8" t="s">
        <v>3764</v>
      </c>
      <c r="H931" s="8" t="s">
        <v>43</v>
      </c>
      <c r="I931" s="8" t="s">
        <v>58</v>
      </c>
      <c r="J931" s="8" t="s">
        <v>43</v>
      </c>
      <c r="K931" s="8" t="s">
        <v>3489</v>
      </c>
      <c r="L931" s="6"/>
      <c r="M931" s="7" t="s">
        <v>43</v>
      </c>
      <c r="N931" s="7"/>
      <c r="O931" s="7"/>
      <c r="P931" s="6" t="s">
        <v>44</v>
      </c>
      <c r="Q931" s="8" t="s">
        <v>3765</v>
      </c>
      <c r="R931" t="str">
        <f>HYPERLINK("https://docs.wto.org/imrd/directdoc.asp?DDFDocuments/t/G/SPS/NJPN1337A1.docx", "https://docs.wto.org/imrd/directdoc.asp?DDFDocuments/t/G/SPS/NJPN1337A1.docx")</f>
        <v>https://docs.wto.org/imrd/directdoc.asp?DDFDocuments/t/G/SPS/NJPN1337A1.docx</v>
      </c>
      <c r="S931" t="str">
        <f>HYPERLINK("https://docs.wto.org/imrd/directdoc.asp?DDFDocuments/u/G/SPS/NJPN1337A1.docx", "https://docs.wto.org/imrd/directdoc.asp?DDFDocuments/u/G/SPS/NJPN1337A1.docx")</f>
        <v>https://docs.wto.org/imrd/directdoc.asp?DDFDocuments/u/G/SPS/NJPN1337A1.docx</v>
      </c>
      <c r="T931" t="str">
        <f>HYPERLINK("https://docs.wto.org/imrd/directdoc.asp?DDFDocuments/v/G/SPS/NJPN1337A1.docx", "https://docs.wto.org/imrd/directdoc.asp?DDFDocuments/v/G/SPS/NJPN1337A1.docx")</f>
        <v>https://docs.wto.org/imrd/directdoc.asp?DDFDocuments/v/G/SPS/NJPN1337A1.docx</v>
      </c>
      <c r="U931" t="s">
        <v>43</v>
      </c>
      <c r="V931" t="s">
        <v>43</v>
      </c>
      <c r="W931" t="s">
        <v>43</v>
      </c>
      <c r="X931" t="s">
        <v>43</v>
      </c>
      <c r="Y931" t="s">
        <v>43</v>
      </c>
      <c r="Z931" t="s">
        <v>43</v>
      </c>
      <c r="AA931" t="s">
        <v>43</v>
      </c>
      <c r="AB931" s="2" t="s">
        <v>43</v>
      </c>
      <c r="AC931" t="s">
        <v>43</v>
      </c>
      <c r="AD931" t="s">
        <v>43</v>
      </c>
      <c r="AE931" t="s">
        <v>43</v>
      </c>
      <c r="AF931" t="s">
        <v>43</v>
      </c>
      <c r="AG931" t="s">
        <v>43</v>
      </c>
      <c r="AH931" s="2" t="s">
        <v>43</v>
      </c>
    </row>
    <row r="932" spans="1:34" ht="90">
      <c r="A932" s="6" t="s">
        <v>509</v>
      </c>
      <c r="B932" s="7">
        <v>46050</v>
      </c>
      <c r="C932" s="9" t="str">
        <f>HYPERLINK("https://eping.wto.org/en/Search?viewData= G/TBT/N/BDI/275/Add.3, G/TBT/N/KEN/1309/Add.3, G/TBT/N/RWA/709/Add.3, G/TBT/N/TZA/828/Add.3, G/TBT/N/UGA/1683/Add.3"," G/TBT/N/BDI/275/Add.3, G/TBT/N/KEN/1309/Add.3, G/TBT/N/RWA/709/Add.3, G/TBT/N/TZA/828/Add.3, G/TBT/N/UGA/1683/Add.3")</f>
        <v xml:space="preserve"> G/TBT/N/BDI/275/Add.3, G/TBT/N/KEN/1309/Add.3, G/TBT/N/RWA/709/Add.3, G/TBT/N/TZA/828/Add.3, G/TBT/N/UGA/1683/Add.3</v>
      </c>
      <c r="D932" s="8" t="s">
        <v>3730</v>
      </c>
      <c r="E932" s="8" t="s">
        <v>3731</v>
      </c>
      <c r="F932" s="8" t="s">
        <v>3732</v>
      </c>
      <c r="G932" s="8" t="s">
        <v>3733</v>
      </c>
      <c r="H932" s="8" t="s">
        <v>3269</v>
      </c>
      <c r="I932" s="8" t="s">
        <v>2827</v>
      </c>
      <c r="J932" s="8" t="s">
        <v>43</v>
      </c>
      <c r="K932" s="8" t="s">
        <v>43</v>
      </c>
      <c r="L932" s="6"/>
      <c r="M932" s="7" t="s">
        <v>43</v>
      </c>
      <c r="N932" s="7"/>
      <c r="O932" s="7"/>
      <c r="P932" s="6" t="s">
        <v>44</v>
      </c>
      <c r="Q932" s="6"/>
      <c r="R932" t="str">
        <f>HYPERLINK("https://docs.wto.org/imrd/directdoc.asp?DDFDocuments/t/G/TBTN22/BDI275A3.docx", "https://docs.wto.org/imrd/directdoc.asp?DDFDocuments/t/G/TBTN22/BDI275A3.docx")</f>
        <v>https://docs.wto.org/imrd/directdoc.asp?DDFDocuments/t/G/TBTN22/BDI275A3.docx</v>
      </c>
      <c r="S932" t="str">
        <f>HYPERLINK("https://docs.wto.org/imrd/directdoc.asp?DDFDocuments/u/G/TBTN22/BDI275A3.docx", "https://docs.wto.org/imrd/directdoc.asp?DDFDocuments/u/G/TBTN22/BDI275A3.docx")</f>
        <v>https://docs.wto.org/imrd/directdoc.asp?DDFDocuments/u/G/TBTN22/BDI275A3.docx</v>
      </c>
      <c r="T932" t="str">
        <f>HYPERLINK("https://docs.wto.org/imrd/directdoc.asp?DDFDocuments/v/G/TBTN22/BDI275A3.docx", "https://docs.wto.org/imrd/directdoc.asp?DDFDocuments/v/G/TBTN22/BDI275A3.docx")</f>
        <v>https://docs.wto.org/imrd/directdoc.asp?DDFDocuments/v/G/TBTN22/BDI275A3.docx</v>
      </c>
      <c r="U932" t="s">
        <v>64</v>
      </c>
      <c r="V932" t="s">
        <v>46</v>
      </c>
      <c r="W932" t="s">
        <v>64</v>
      </c>
      <c r="X932" t="s">
        <v>46</v>
      </c>
      <c r="Y932" t="s">
        <v>46</v>
      </c>
      <c r="Z932" t="s">
        <v>46</v>
      </c>
      <c r="AA932" t="s">
        <v>46</v>
      </c>
      <c r="AB932" s="2" t="s">
        <v>43</v>
      </c>
      <c r="AC932" t="s">
        <v>43</v>
      </c>
      <c r="AD932" t="s">
        <v>43</v>
      </c>
      <c r="AE932" t="s">
        <v>43</v>
      </c>
      <c r="AF932" t="s">
        <v>43</v>
      </c>
      <c r="AG932" t="s">
        <v>43</v>
      </c>
      <c r="AH932" s="2" t="s">
        <v>43</v>
      </c>
    </row>
    <row r="933" spans="1:34" ht="90">
      <c r="A933" s="6" t="s">
        <v>577</v>
      </c>
      <c r="B933" s="7">
        <v>46050</v>
      </c>
      <c r="C933" s="9" t="str">
        <f>HYPERLINK("https://eping.wto.org/en/Search?viewData= G/TBT/N/BDI/277/Add.3, G/TBT/N/KEN/1311/Add.3, G/TBT/N/RWA/711/Add.3, G/TBT/N/TZA/830/Add.3, G/TBT/N/UGA/1685/Add.3"," G/TBT/N/BDI/277/Add.3, G/TBT/N/KEN/1311/Add.3, G/TBT/N/RWA/711/Add.3, G/TBT/N/TZA/830/Add.3, G/TBT/N/UGA/1685/Add.3")</f>
        <v xml:space="preserve"> G/TBT/N/BDI/277/Add.3, G/TBT/N/KEN/1311/Add.3, G/TBT/N/RWA/711/Add.3, G/TBT/N/TZA/830/Add.3, G/TBT/N/UGA/1685/Add.3</v>
      </c>
      <c r="D933" s="8" t="s">
        <v>3758</v>
      </c>
      <c r="E933" s="8" t="s">
        <v>3759</v>
      </c>
      <c r="F933" s="8" t="s">
        <v>3760</v>
      </c>
      <c r="G933" s="8" t="s">
        <v>3761</v>
      </c>
      <c r="H933" s="8" t="s">
        <v>3269</v>
      </c>
      <c r="I933" s="8" t="s">
        <v>2827</v>
      </c>
      <c r="J933" s="8" t="s">
        <v>43</v>
      </c>
      <c r="K933" s="8" t="s">
        <v>43</v>
      </c>
      <c r="L933" s="6"/>
      <c r="M933" s="7" t="s">
        <v>43</v>
      </c>
      <c r="N933" s="7"/>
      <c r="O933" s="7"/>
      <c r="P933" s="6" t="s">
        <v>44</v>
      </c>
      <c r="Q933" s="6"/>
      <c r="R933" t="str">
        <f>HYPERLINK("https://docs.wto.org/imrd/directdoc.asp?DDFDocuments/t/G/TBTN22/BDI277A3.docx", "https://docs.wto.org/imrd/directdoc.asp?DDFDocuments/t/G/TBTN22/BDI277A3.docx")</f>
        <v>https://docs.wto.org/imrd/directdoc.asp?DDFDocuments/t/G/TBTN22/BDI277A3.docx</v>
      </c>
      <c r="S933" t="str">
        <f>HYPERLINK("https://docs.wto.org/imrd/directdoc.asp?DDFDocuments/u/G/TBTN22/BDI277A3.docx", "https://docs.wto.org/imrd/directdoc.asp?DDFDocuments/u/G/TBTN22/BDI277A3.docx")</f>
        <v>https://docs.wto.org/imrd/directdoc.asp?DDFDocuments/u/G/TBTN22/BDI277A3.docx</v>
      </c>
      <c r="T933" t="str">
        <f>HYPERLINK("https://docs.wto.org/imrd/directdoc.asp?DDFDocuments/v/G/TBTN22/BDI277A3.docx", "https://docs.wto.org/imrd/directdoc.asp?DDFDocuments/v/G/TBTN22/BDI277A3.docx")</f>
        <v>https://docs.wto.org/imrd/directdoc.asp?DDFDocuments/v/G/TBTN22/BDI277A3.docx</v>
      </c>
      <c r="U933" t="s">
        <v>64</v>
      </c>
      <c r="V933" t="s">
        <v>46</v>
      </c>
      <c r="W933" t="s">
        <v>64</v>
      </c>
      <c r="X933" t="s">
        <v>46</v>
      </c>
      <c r="Y933" t="s">
        <v>46</v>
      </c>
      <c r="Z933" t="s">
        <v>46</v>
      </c>
      <c r="AA933" t="s">
        <v>46</v>
      </c>
      <c r="AB933" s="2" t="s">
        <v>43</v>
      </c>
      <c r="AC933" t="s">
        <v>43</v>
      </c>
      <c r="AD933" t="s">
        <v>43</v>
      </c>
      <c r="AE933" t="s">
        <v>43</v>
      </c>
      <c r="AF933" t="s">
        <v>43</v>
      </c>
      <c r="AG933" t="s">
        <v>43</v>
      </c>
      <c r="AH933" s="2" t="s">
        <v>43</v>
      </c>
    </row>
    <row r="934" spans="1:34" ht="210">
      <c r="A934" s="6" t="s">
        <v>132</v>
      </c>
      <c r="B934" s="7">
        <v>46050</v>
      </c>
      <c r="C934" s="9" t="str">
        <f>HYPERLINK("https://eping.wto.org/en/Search?viewData= G/TBT/N/USA/1898/Add.1"," G/TBT/N/USA/1898/Add.1")</f>
        <v xml:space="preserve"> G/TBT/N/USA/1898/Add.1</v>
      </c>
      <c r="D934" s="8" t="s">
        <v>3766</v>
      </c>
      <c r="E934" s="8" t="s">
        <v>3767</v>
      </c>
      <c r="F934" s="8" t="s">
        <v>3768</v>
      </c>
      <c r="G934" s="8" t="s">
        <v>43</v>
      </c>
      <c r="H934" s="8" t="s">
        <v>3769</v>
      </c>
      <c r="I934" s="8" t="s">
        <v>3770</v>
      </c>
      <c r="J934" s="8"/>
      <c r="K934" s="8" t="s">
        <v>43</v>
      </c>
      <c r="L934" s="6"/>
      <c r="M934" s="7" t="s">
        <v>43</v>
      </c>
      <c r="N934" s="7"/>
      <c r="O934" s="7"/>
      <c r="P934" s="6" t="s">
        <v>44</v>
      </c>
      <c r="Q934" s="8" t="s">
        <v>3771</v>
      </c>
      <c r="R934" t="str">
        <f>HYPERLINK("https://docs.wto.org/imrd/directdoc.asp?DDFDocuments/t/G/TBTN22/USA1898A1.docx", "https://docs.wto.org/imrd/directdoc.asp?DDFDocuments/t/G/TBTN22/USA1898A1.docx")</f>
        <v>https://docs.wto.org/imrd/directdoc.asp?DDFDocuments/t/G/TBTN22/USA1898A1.docx</v>
      </c>
      <c r="S934" t="str">
        <f>HYPERLINK("https://docs.wto.org/imrd/directdoc.asp?DDFDocuments/u/G/TBTN22/USA1898A1.docx", "https://docs.wto.org/imrd/directdoc.asp?DDFDocuments/u/G/TBTN22/USA1898A1.docx")</f>
        <v>https://docs.wto.org/imrd/directdoc.asp?DDFDocuments/u/G/TBTN22/USA1898A1.docx</v>
      </c>
      <c r="T934" t="str">
        <f>HYPERLINK("https://docs.wto.org/imrd/directdoc.asp?DDFDocuments/v/G/TBTN22/USA1898A1.docx", "https://docs.wto.org/imrd/directdoc.asp?DDFDocuments/v/G/TBTN22/USA1898A1.docx")</f>
        <v>https://docs.wto.org/imrd/directdoc.asp?DDFDocuments/v/G/TBTN22/USA1898A1.docx</v>
      </c>
      <c r="U934" t="s">
        <v>64</v>
      </c>
      <c r="V934" t="s">
        <v>46</v>
      </c>
      <c r="W934" t="s">
        <v>64</v>
      </c>
      <c r="X934" t="s">
        <v>46</v>
      </c>
      <c r="Y934" t="s">
        <v>46</v>
      </c>
      <c r="Z934" t="s">
        <v>46</v>
      </c>
      <c r="AA934" t="s">
        <v>46</v>
      </c>
      <c r="AB934" s="2" t="s">
        <v>43</v>
      </c>
      <c r="AC934" t="s">
        <v>43</v>
      </c>
      <c r="AD934" t="s">
        <v>43</v>
      </c>
      <c r="AE934" t="s">
        <v>43</v>
      </c>
      <c r="AF934" t="s">
        <v>43</v>
      </c>
      <c r="AG934" t="s">
        <v>43</v>
      </c>
      <c r="AH934" s="2" t="s">
        <v>43</v>
      </c>
    </row>
    <row r="935" spans="1:34" ht="90">
      <c r="A935" s="6" t="s">
        <v>390</v>
      </c>
      <c r="B935" s="7">
        <v>46050</v>
      </c>
      <c r="C935" s="9" t="str">
        <f>HYPERLINK("https://eping.wto.org/en/Search?viewData= G/TBT/N/BDI/277/Add.3, G/TBT/N/KEN/1311/Add.3, G/TBT/N/RWA/711/Add.3, G/TBT/N/TZA/830/Add.3, G/TBT/N/UGA/1685/Add.3"," G/TBT/N/BDI/277/Add.3, G/TBT/N/KEN/1311/Add.3, G/TBT/N/RWA/711/Add.3, G/TBT/N/TZA/830/Add.3, G/TBT/N/UGA/1685/Add.3")</f>
        <v xml:space="preserve"> G/TBT/N/BDI/277/Add.3, G/TBT/N/KEN/1311/Add.3, G/TBT/N/RWA/711/Add.3, G/TBT/N/TZA/830/Add.3, G/TBT/N/UGA/1685/Add.3</v>
      </c>
      <c r="D935" s="8" t="s">
        <v>3758</v>
      </c>
      <c r="E935" s="8" t="s">
        <v>3759</v>
      </c>
      <c r="F935" s="8" t="s">
        <v>3760</v>
      </c>
      <c r="G935" s="8" t="s">
        <v>3761</v>
      </c>
      <c r="H935" s="8" t="s">
        <v>3269</v>
      </c>
      <c r="I935" s="8" t="s">
        <v>2834</v>
      </c>
      <c r="J935" s="8" t="s">
        <v>43</v>
      </c>
      <c r="K935" s="8" t="s">
        <v>43</v>
      </c>
      <c r="L935" s="6"/>
      <c r="M935" s="7" t="s">
        <v>43</v>
      </c>
      <c r="N935" s="7"/>
      <c r="O935" s="7"/>
      <c r="P935" s="6" t="s">
        <v>44</v>
      </c>
      <c r="Q935" s="6"/>
      <c r="R935" t="str">
        <f>HYPERLINK("https://docs.wto.org/imrd/directdoc.asp?DDFDocuments/t/G/TBTN22/BDI277A3.docx", "https://docs.wto.org/imrd/directdoc.asp?DDFDocuments/t/G/TBTN22/BDI277A3.docx")</f>
        <v>https://docs.wto.org/imrd/directdoc.asp?DDFDocuments/t/G/TBTN22/BDI277A3.docx</v>
      </c>
      <c r="S935" t="str">
        <f>HYPERLINK("https://docs.wto.org/imrd/directdoc.asp?DDFDocuments/u/G/TBTN22/BDI277A3.docx", "https://docs.wto.org/imrd/directdoc.asp?DDFDocuments/u/G/TBTN22/BDI277A3.docx")</f>
        <v>https://docs.wto.org/imrd/directdoc.asp?DDFDocuments/u/G/TBTN22/BDI277A3.docx</v>
      </c>
      <c r="T935" t="str">
        <f>HYPERLINK("https://docs.wto.org/imrd/directdoc.asp?DDFDocuments/v/G/TBTN22/BDI277A3.docx", "https://docs.wto.org/imrd/directdoc.asp?DDFDocuments/v/G/TBTN22/BDI277A3.docx")</f>
        <v>https://docs.wto.org/imrd/directdoc.asp?DDFDocuments/v/G/TBTN22/BDI277A3.docx</v>
      </c>
      <c r="U935" t="s">
        <v>64</v>
      </c>
      <c r="V935" t="s">
        <v>46</v>
      </c>
      <c r="W935" t="s">
        <v>64</v>
      </c>
      <c r="X935" t="s">
        <v>46</v>
      </c>
      <c r="Y935" t="s">
        <v>46</v>
      </c>
      <c r="Z935" t="s">
        <v>46</v>
      </c>
      <c r="AA935" t="s">
        <v>46</v>
      </c>
      <c r="AB935" s="2" t="s">
        <v>43</v>
      </c>
      <c r="AC935" t="s">
        <v>43</v>
      </c>
      <c r="AD935" t="s">
        <v>43</v>
      </c>
      <c r="AE935" t="s">
        <v>43</v>
      </c>
      <c r="AF935" t="s">
        <v>43</v>
      </c>
      <c r="AG935" t="s">
        <v>43</v>
      </c>
      <c r="AH935" s="2" t="s">
        <v>43</v>
      </c>
    </row>
    <row r="936" spans="1:34" ht="90">
      <c r="A936" s="6" t="s">
        <v>185</v>
      </c>
      <c r="B936" s="7">
        <v>46050</v>
      </c>
      <c r="C936" s="9" t="str">
        <f>HYPERLINK("https://eping.wto.org/en/Search?viewData= G/TBT/N/CHN/2196"," G/TBT/N/CHN/2196")</f>
        <v xml:space="preserve"> G/TBT/N/CHN/2196</v>
      </c>
      <c r="D936" s="8" t="s">
        <v>3772</v>
      </c>
      <c r="E936" s="8" t="s">
        <v>3773</v>
      </c>
      <c r="F936" s="8" t="s">
        <v>3774</v>
      </c>
      <c r="G936" s="8" t="s">
        <v>3775</v>
      </c>
      <c r="H936" s="8" t="s">
        <v>412</v>
      </c>
      <c r="I936" s="8" t="s">
        <v>413</v>
      </c>
      <c r="J936" s="8" t="s">
        <v>43</v>
      </c>
      <c r="K936" s="8" t="s">
        <v>43</v>
      </c>
      <c r="L936" s="6"/>
      <c r="M936" s="7">
        <v>46110</v>
      </c>
      <c r="N936" s="7" t="s">
        <v>79</v>
      </c>
      <c r="O936" s="7" t="s">
        <v>414</v>
      </c>
      <c r="P936" s="6" t="s">
        <v>62</v>
      </c>
      <c r="Q936" s="8" t="s">
        <v>3776</v>
      </c>
      <c r="R936" t="str">
        <f>HYPERLINK("https://docs.wto.org/imrd/directdoc.asp?DDFDocuments/t/G/TBTN26/CHN2196.docx", "https://docs.wto.org/imrd/directdoc.asp?DDFDocuments/t/G/TBTN26/CHN2196.docx")</f>
        <v>https://docs.wto.org/imrd/directdoc.asp?DDFDocuments/t/G/TBTN26/CHN2196.docx</v>
      </c>
      <c r="S936" t="str">
        <f>HYPERLINK("https://docs.wto.org/imrd/directdoc.asp?DDFDocuments/u/G/TBTN26/CHN2196.docx", "https://docs.wto.org/imrd/directdoc.asp?DDFDocuments/u/G/TBTN26/CHN2196.docx")</f>
        <v>https://docs.wto.org/imrd/directdoc.asp?DDFDocuments/u/G/TBTN26/CHN2196.docx</v>
      </c>
      <c r="T936" t="str">
        <f>HYPERLINK("https://docs.wto.org/imrd/directdoc.asp?DDFDocuments/v/G/TBTN26/CHN2196.docx", "https://docs.wto.org/imrd/directdoc.asp?DDFDocuments/v/G/TBTN26/CHN2196.docx")</f>
        <v>https://docs.wto.org/imrd/directdoc.asp?DDFDocuments/v/G/TBTN26/CHN2196.docx</v>
      </c>
      <c r="U936" t="s">
        <v>64</v>
      </c>
      <c r="V936" t="s">
        <v>46</v>
      </c>
      <c r="W936" t="s">
        <v>46</v>
      </c>
      <c r="X936" t="s">
        <v>46</v>
      </c>
      <c r="Y936" t="s">
        <v>46</v>
      </c>
      <c r="Z936" t="s">
        <v>46</v>
      </c>
      <c r="AA936" t="s">
        <v>46</v>
      </c>
      <c r="AB936" s="2" t="s">
        <v>43</v>
      </c>
      <c r="AC936" t="s">
        <v>43</v>
      </c>
      <c r="AD936" t="s">
        <v>43</v>
      </c>
      <c r="AE936" t="s">
        <v>43</v>
      </c>
      <c r="AF936" t="s">
        <v>43</v>
      </c>
      <c r="AG936" t="s">
        <v>43</v>
      </c>
      <c r="AH936" s="2" t="s">
        <v>43</v>
      </c>
    </row>
    <row r="937" spans="1:34" ht="45">
      <c r="A937" s="6" t="s">
        <v>904</v>
      </c>
      <c r="B937" s="7">
        <v>46050</v>
      </c>
      <c r="C937" s="9" t="str">
        <f>HYPERLINK("https://eping.wto.org/en/Search?viewData= G/SPS/N/MEX/461"," G/SPS/N/MEX/461")</f>
        <v xml:space="preserve"> G/SPS/N/MEX/461</v>
      </c>
      <c r="D937" s="8" t="s">
        <v>3777</v>
      </c>
      <c r="E937" s="8" t="s">
        <v>3778</v>
      </c>
      <c r="F937" s="8" t="s">
        <v>3779</v>
      </c>
      <c r="G937" s="8" t="s">
        <v>43</v>
      </c>
      <c r="H937" s="8" t="s">
        <v>43</v>
      </c>
      <c r="I937" s="8" t="s">
        <v>3780</v>
      </c>
      <c r="J937" s="8" t="s">
        <v>43</v>
      </c>
      <c r="K937" s="8" t="s">
        <v>95</v>
      </c>
      <c r="L937" s="6" t="s">
        <v>1301</v>
      </c>
      <c r="M937" s="7">
        <v>46110</v>
      </c>
      <c r="N937" s="7" t="s">
        <v>79</v>
      </c>
      <c r="O937" s="7" t="s">
        <v>79</v>
      </c>
      <c r="P937" s="6" t="s">
        <v>62</v>
      </c>
      <c r="Q937" s="8" t="s">
        <v>3781</v>
      </c>
      <c r="R937" t="str">
        <f>HYPERLINK("https://docs.wto.org/imrd/directdoc.asp?DDFDocuments/t/G/SPS/NMEX461.docx", "https://docs.wto.org/imrd/directdoc.asp?DDFDocuments/t/G/SPS/NMEX461.docx")</f>
        <v>https://docs.wto.org/imrd/directdoc.asp?DDFDocuments/t/G/SPS/NMEX461.docx</v>
      </c>
      <c r="S937" t="str">
        <f>HYPERLINK("https://docs.wto.org/imrd/directdoc.asp?DDFDocuments/u/G/SPS/NMEX461.docx", "https://docs.wto.org/imrd/directdoc.asp?DDFDocuments/u/G/SPS/NMEX461.docx")</f>
        <v>https://docs.wto.org/imrd/directdoc.asp?DDFDocuments/u/G/SPS/NMEX461.docx</v>
      </c>
      <c r="T937" t="str">
        <f>HYPERLINK("https://docs.wto.org/imrd/directdoc.asp?DDFDocuments/v/G/SPS/NMEX461.docx", "https://docs.wto.org/imrd/directdoc.asp?DDFDocuments/v/G/SPS/NMEX461.docx")</f>
        <v>https://docs.wto.org/imrd/directdoc.asp?DDFDocuments/v/G/SPS/NMEX461.docx</v>
      </c>
      <c r="U937" t="s">
        <v>43</v>
      </c>
      <c r="V937" t="s">
        <v>43</v>
      </c>
      <c r="W937" t="s">
        <v>43</v>
      </c>
      <c r="X937" t="s">
        <v>43</v>
      </c>
      <c r="Y937" t="s">
        <v>43</v>
      </c>
      <c r="Z937" t="s">
        <v>43</v>
      </c>
      <c r="AA937" t="s">
        <v>43</v>
      </c>
      <c r="AB937" s="2" t="s">
        <v>43</v>
      </c>
      <c r="AC937" t="s">
        <v>46</v>
      </c>
      <c r="AD937" t="s">
        <v>46</v>
      </c>
      <c r="AE937" t="s">
        <v>46</v>
      </c>
      <c r="AF937" t="s">
        <v>64</v>
      </c>
      <c r="AG937" t="s">
        <v>99</v>
      </c>
      <c r="AH937" s="2" t="s">
        <v>3782</v>
      </c>
    </row>
    <row r="938" spans="1:34" ht="360">
      <c r="A938" s="6" t="s">
        <v>356</v>
      </c>
      <c r="B938" s="7">
        <v>46050</v>
      </c>
      <c r="C938" s="9" t="str">
        <f>HYPERLINK("https://eping.wto.org/en/Search?viewData= G/SPS/N/EU/843/Add.1"," G/SPS/N/EU/843/Add.1")</f>
        <v xml:space="preserve"> G/SPS/N/EU/843/Add.1</v>
      </c>
      <c r="D938" s="8" t="s">
        <v>3783</v>
      </c>
      <c r="E938" s="8" t="s">
        <v>3784</v>
      </c>
      <c r="F938" s="8" t="s">
        <v>3785</v>
      </c>
      <c r="G938" s="8" t="s">
        <v>3786</v>
      </c>
      <c r="H938" s="8" t="s">
        <v>43</v>
      </c>
      <c r="I938" s="8" t="s">
        <v>58</v>
      </c>
      <c r="J938" s="8" t="s">
        <v>43</v>
      </c>
      <c r="K938" s="8" t="s">
        <v>3427</v>
      </c>
      <c r="L938" s="6"/>
      <c r="M938" s="7" t="s">
        <v>43</v>
      </c>
      <c r="N938" s="7"/>
      <c r="O938" s="7"/>
      <c r="P938" s="6" t="s">
        <v>44</v>
      </c>
      <c r="Q938" s="8" t="s">
        <v>3787</v>
      </c>
      <c r="R938" t="str">
        <f>HYPERLINK("https://docs.wto.org/imrd/directdoc.asp?DDFDocuments/t/G/SPS/NEU843A1.docx", "https://docs.wto.org/imrd/directdoc.asp?DDFDocuments/t/G/SPS/NEU843A1.docx")</f>
        <v>https://docs.wto.org/imrd/directdoc.asp?DDFDocuments/t/G/SPS/NEU843A1.docx</v>
      </c>
      <c r="S938" t="str">
        <f>HYPERLINK("https://docs.wto.org/imrd/directdoc.asp?DDFDocuments/u/G/SPS/NEU843A1.docx", "https://docs.wto.org/imrd/directdoc.asp?DDFDocuments/u/G/SPS/NEU843A1.docx")</f>
        <v>https://docs.wto.org/imrd/directdoc.asp?DDFDocuments/u/G/SPS/NEU843A1.docx</v>
      </c>
      <c r="T938" t="str">
        <f>HYPERLINK("https://docs.wto.org/imrd/directdoc.asp?DDFDocuments/v/G/SPS/NEU843A1.docx", "https://docs.wto.org/imrd/directdoc.asp?DDFDocuments/v/G/SPS/NEU843A1.docx")</f>
        <v>https://docs.wto.org/imrd/directdoc.asp?DDFDocuments/v/G/SPS/NEU843A1.docx</v>
      </c>
      <c r="U938" t="s">
        <v>43</v>
      </c>
      <c r="V938" t="s">
        <v>43</v>
      </c>
      <c r="W938" t="s">
        <v>43</v>
      </c>
      <c r="X938" t="s">
        <v>43</v>
      </c>
      <c r="Y938" t="s">
        <v>43</v>
      </c>
      <c r="Z938" t="s">
        <v>43</v>
      </c>
      <c r="AA938" t="s">
        <v>43</v>
      </c>
      <c r="AB938" s="2" t="s">
        <v>43</v>
      </c>
      <c r="AC938" t="s">
        <v>43</v>
      </c>
      <c r="AD938" t="s">
        <v>43</v>
      </c>
      <c r="AE938" t="s">
        <v>43</v>
      </c>
      <c r="AF938" t="s">
        <v>43</v>
      </c>
      <c r="AG938" t="s">
        <v>43</v>
      </c>
      <c r="AH938" s="2" t="s">
        <v>43</v>
      </c>
    </row>
    <row r="939" spans="1:34" ht="60">
      <c r="A939" s="6" t="s">
        <v>390</v>
      </c>
      <c r="B939" s="7">
        <v>46050</v>
      </c>
      <c r="C939" s="9" t="str">
        <f>HYPERLINK("https://eping.wto.org/en/Search?viewData= G/TBT/N/BDI/275/Add.3, G/TBT/N/KEN/1309/Add.3, G/TBT/N/RWA/709/Add.3, G/TBT/N/TZA/828/Add.3, G/TBT/N/UGA/1683/Add.3"," G/TBT/N/BDI/275/Add.3, G/TBT/N/KEN/1309/Add.3, G/TBT/N/RWA/709/Add.3, G/TBT/N/TZA/828/Add.3, G/TBT/N/UGA/1683/Add.3")</f>
        <v xml:space="preserve"> G/TBT/N/BDI/275/Add.3, G/TBT/N/KEN/1309/Add.3, G/TBT/N/RWA/709/Add.3, G/TBT/N/TZA/828/Add.3, G/TBT/N/UGA/1683/Add.3</v>
      </c>
      <c r="D939" s="8" t="s">
        <v>3730</v>
      </c>
      <c r="E939" s="8" t="s">
        <v>3731</v>
      </c>
      <c r="F939" s="8" t="s">
        <v>3732</v>
      </c>
      <c r="G939" s="8" t="s">
        <v>3733</v>
      </c>
      <c r="H939" s="8" t="s">
        <v>3269</v>
      </c>
      <c r="I939" s="8" t="s">
        <v>2834</v>
      </c>
      <c r="J939" s="8" t="s">
        <v>43</v>
      </c>
      <c r="K939" s="8" t="s">
        <v>43</v>
      </c>
      <c r="L939" s="6"/>
      <c r="M939" s="7" t="s">
        <v>43</v>
      </c>
      <c r="N939" s="7"/>
      <c r="O939" s="7"/>
      <c r="P939" s="6" t="s">
        <v>44</v>
      </c>
      <c r="Q939" s="6"/>
      <c r="R939" t="str">
        <f>HYPERLINK("https://docs.wto.org/imrd/directdoc.asp?DDFDocuments/t/G/TBTN22/BDI275A3.docx", "https://docs.wto.org/imrd/directdoc.asp?DDFDocuments/t/G/TBTN22/BDI275A3.docx")</f>
        <v>https://docs.wto.org/imrd/directdoc.asp?DDFDocuments/t/G/TBTN22/BDI275A3.docx</v>
      </c>
      <c r="S939" t="str">
        <f>HYPERLINK("https://docs.wto.org/imrd/directdoc.asp?DDFDocuments/u/G/TBTN22/BDI275A3.docx", "https://docs.wto.org/imrd/directdoc.asp?DDFDocuments/u/G/TBTN22/BDI275A3.docx")</f>
        <v>https://docs.wto.org/imrd/directdoc.asp?DDFDocuments/u/G/TBTN22/BDI275A3.docx</v>
      </c>
      <c r="T939" t="str">
        <f>HYPERLINK("https://docs.wto.org/imrd/directdoc.asp?DDFDocuments/v/G/TBTN22/BDI275A3.docx", "https://docs.wto.org/imrd/directdoc.asp?DDFDocuments/v/G/TBTN22/BDI275A3.docx")</f>
        <v>https://docs.wto.org/imrd/directdoc.asp?DDFDocuments/v/G/TBTN22/BDI275A3.docx</v>
      </c>
      <c r="U939" t="s">
        <v>64</v>
      </c>
      <c r="V939" t="s">
        <v>46</v>
      </c>
      <c r="W939" t="s">
        <v>64</v>
      </c>
      <c r="X939" t="s">
        <v>46</v>
      </c>
      <c r="Y939" t="s">
        <v>46</v>
      </c>
      <c r="Z939" t="s">
        <v>46</v>
      </c>
      <c r="AA939" t="s">
        <v>46</v>
      </c>
      <c r="AB939" s="2" t="s">
        <v>43</v>
      </c>
      <c r="AC939" t="s">
        <v>43</v>
      </c>
      <c r="AD939" t="s">
        <v>43</v>
      </c>
      <c r="AE939" t="s">
        <v>43</v>
      </c>
      <c r="AF939" t="s">
        <v>43</v>
      </c>
      <c r="AG939" t="s">
        <v>43</v>
      </c>
      <c r="AH939" s="2" t="s">
        <v>43</v>
      </c>
    </row>
    <row r="940" spans="1:34" ht="375">
      <c r="A940" s="6" t="s">
        <v>158</v>
      </c>
      <c r="B940" s="7">
        <v>46050</v>
      </c>
      <c r="C940" s="9" t="str">
        <f>HYPERLINK("https://eping.wto.org/en/Search?viewData= G/TBT/N/UKR/368"," G/TBT/N/UKR/368")</f>
        <v xml:space="preserve"> G/TBT/N/UKR/368</v>
      </c>
      <c r="D940" s="8" t="s">
        <v>3788</v>
      </c>
      <c r="E940" s="8" t="s">
        <v>3789</v>
      </c>
      <c r="F940" s="8" t="s">
        <v>3790</v>
      </c>
      <c r="G940" s="8" t="s">
        <v>43</v>
      </c>
      <c r="H940" s="8" t="s">
        <v>43</v>
      </c>
      <c r="I940" s="8" t="s">
        <v>1528</v>
      </c>
      <c r="J940" s="8" t="s">
        <v>43</v>
      </c>
      <c r="K940" s="8" t="s">
        <v>240</v>
      </c>
      <c r="L940" s="6"/>
      <c r="M940" s="7">
        <v>46110</v>
      </c>
      <c r="N940" s="7">
        <v>45950</v>
      </c>
      <c r="O940" s="7">
        <v>46031</v>
      </c>
      <c r="P940" s="6" t="s">
        <v>62</v>
      </c>
      <c r="Q940" s="8" t="s">
        <v>3791</v>
      </c>
      <c r="R940" t="str">
        <f>HYPERLINK("https://docs.wto.org/imrd/directdoc.asp?DDFDocuments/t/G/TBTN26/UKR368.docx", "https://docs.wto.org/imrd/directdoc.asp?DDFDocuments/t/G/TBTN26/UKR368.docx")</f>
        <v>https://docs.wto.org/imrd/directdoc.asp?DDFDocuments/t/G/TBTN26/UKR368.docx</v>
      </c>
      <c r="S940" t="str">
        <f>HYPERLINK("https://docs.wto.org/imrd/directdoc.asp?DDFDocuments/u/G/TBTN26/UKR368.docx", "https://docs.wto.org/imrd/directdoc.asp?DDFDocuments/u/G/TBTN26/UKR368.docx")</f>
        <v>https://docs.wto.org/imrd/directdoc.asp?DDFDocuments/u/G/TBTN26/UKR368.docx</v>
      </c>
      <c r="T940" t="str">
        <f>HYPERLINK("https://docs.wto.org/imrd/directdoc.asp?DDFDocuments/v/G/TBTN26/UKR368.docx", "https://docs.wto.org/imrd/directdoc.asp?DDFDocuments/v/G/TBTN26/UKR368.docx")</f>
        <v>https://docs.wto.org/imrd/directdoc.asp?DDFDocuments/v/G/TBTN26/UKR368.docx</v>
      </c>
      <c r="U940" t="s">
        <v>64</v>
      </c>
      <c r="V940" t="s">
        <v>46</v>
      </c>
      <c r="W940" t="s">
        <v>64</v>
      </c>
      <c r="X940" t="s">
        <v>46</v>
      </c>
      <c r="Y940" t="s">
        <v>46</v>
      </c>
      <c r="Z940" t="s">
        <v>46</v>
      </c>
      <c r="AA940" t="s">
        <v>46</v>
      </c>
      <c r="AB940" s="2" t="s">
        <v>3792</v>
      </c>
      <c r="AC940" t="s">
        <v>43</v>
      </c>
      <c r="AD940" t="s">
        <v>43</v>
      </c>
      <c r="AE940" t="s">
        <v>43</v>
      </c>
      <c r="AF940" t="s">
        <v>43</v>
      </c>
      <c r="AG940" t="s">
        <v>43</v>
      </c>
      <c r="AH940" s="2" t="s">
        <v>43</v>
      </c>
    </row>
    <row r="941" spans="1:34" ht="60">
      <c r="A941" s="6" t="s">
        <v>185</v>
      </c>
      <c r="B941" s="7">
        <v>46050</v>
      </c>
      <c r="C941" s="9" t="str">
        <f>HYPERLINK("https://eping.wto.org/en/Search?viewData= G/TBT/N/CHN/2193"," G/TBT/N/CHN/2193")</f>
        <v xml:space="preserve"> G/TBT/N/CHN/2193</v>
      </c>
      <c r="D941" s="8" t="s">
        <v>3793</v>
      </c>
      <c r="E941" s="8" t="s">
        <v>3794</v>
      </c>
      <c r="F941" s="8" t="s">
        <v>3795</v>
      </c>
      <c r="G941" s="8" t="s">
        <v>3741</v>
      </c>
      <c r="H941" s="8" t="s">
        <v>412</v>
      </c>
      <c r="I941" s="8" t="s">
        <v>413</v>
      </c>
      <c r="J941" s="8" t="s">
        <v>43</v>
      </c>
      <c r="K941" s="8" t="s">
        <v>43</v>
      </c>
      <c r="L941" s="6"/>
      <c r="M941" s="7">
        <v>46110</v>
      </c>
      <c r="N941" s="7" t="s">
        <v>79</v>
      </c>
      <c r="O941" s="7" t="s">
        <v>414</v>
      </c>
      <c r="P941" s="6" t="s">
        <v>62</v>
      </c>
      <c r="Q941" s="8" t="s">
        <v>3796</v>
      </c>
      <c r="R941" t="str">
        <f>HYPERLINK("https://docs.wto.org/imrd/directdoc.asp?DDFDocuments/t/G/TBTN26/CHN2193.docx", "https://docs.wto.org/imrd/directdoc.asp?DDFDocuments/t/G/TBTN26/CHN2193.docx")</f>
        <v>https://docs.wto.org/imrd/directdoc.asp?DDFDocuments/t/G/TBTN26/CHN2193.docx</v>
      </c>
      <c r="S941" t="str">
        <f>HYPERLINK("https://docs.wto.org/imrd/directdoc.asp?DDFDocuments/u/G/TBTN26/CHN2193.docx", "https://docs.wto.org/imrd/directdoc.asp?DDFDocuments/u/G/TBTN26/CHN2193.docx")</f>
        <v>https://docs.wto.org/imrd/directdoc.asp?DDFDocuments/u/G/TBTN26/CHN2193.docx</v>
      </c>
      <c r="T941" t="str">
        <f>HYPERLINK("https://docs.wto.org/imrd/directdoc.asp?DDFDocuments/v/G/TBTN26/CHN2193.docx", "https://docs.wto.org/imrd/directdoc.asp?DDFDocuments/v/G/TBTN26/CHN2193.docx")</f>
        <v>https://docs.wto.org/imrd/directdoc.asp?DDFDocuments/v/G/TBTN26/CHN2193.docx</v>
      </c>
      <c r="U941" t="s">
        <v>64</v>
      </c>
      <c r="V941" t="s">
        <v>46</v>
      </c>
      <c r="W941" t="s">
        <v>46</v>
      </c>
      <c r="X941" t="s">
        <v>46</v>
      </c>
      <c r="Y941" t="s">
        <v>46</v>
      </c>
      <c r="Z941" t="s">
        <v>46</v>
      </c>
      <c r="AA941" t="s">
        <v>46</v>
      </c>
      <c r="AB941" s="2" t="s">
        <v>43</v>
      </c>
      <c r="AC941" t="s">
        <v>43</v>
      </c>
      <c r="AD941" t="s">
        <v>43</v>
      </c>
      <c r="AE941" t="s">
        <v>43</v>
      </c>
      <c r="AF941" t="s">
        <v>43</v>
      </c>
      <c r="AG941" t="s">
        <v>43</v>
      </c>
      <c r="AH941" s="2" t="s">
        <v>43</v>
      </c>
    </row>
    <row r="942" spans="1:34" ht="409.5">
      <c r="A942" s="6" t="s">
        <v>82</v>
      </c>
      <c r="B942" s="7">
        <v>46050</v>
      </c>
      <c r="C942" s="9" t="str">
        <f>HYPERLINK("https://eping.wto.org/en/Search?viewData= G/SPS/N/JPN/1340/Add.1"," G/SPS/N/JPN/1340/Add.1")</f>
        <v xml:space="preserve"> G/SPS/N/JPN/1340/Add.1</v>
      </c>
      <c r="D942" s="8" t="s">
        <v>3423</v>
      </c>
      <c r="E942" s="8" t="s">
        <v>3797</v>
      </c>
      <c r="F942" s="8" t="s">
        <v>3798</v>
      </c>
      <c r="G942" s="8" t="s">
        <v>3799</v>
      </c>
      <c r="H942" s="8" t="s">
        <v>43</v>
      </c>
      <c r="I942" s="8" t="s">
        <v>58</v>
      </c>
      <c r="J942" s="8" t="s">
        <v>43</v>
      </c>
      <c r="K942" s="8" t="s">
        <v>3489</v>
      </c>
      <c r="L942" s="6"/>
      <c r="M942" s="7" t="s">
        <v>43</v>
      </c>
      <c r="N942" s="7"/>
      <c r="O942" s="7"/>
      <c r="P942" s="6" t="s">
        <v>44</v>
      </c>
      <c r="Q942" s="8" t="s">
        <v>3800</v>
      </c>
      <c r="R942" t="str">
        <f>HYPERLINK("https://docs.wto.org/imrd/directdoc.asp?DDFDocuments/t/G/SPS/NJPN1340A1.docx", "https://docs.wto.org/imrd/directdoc.asp?DDFDocuments/t/G/SPS/NJPN1340A1.docx")</f>
        <v>https://docs.wto.org/imrd/directdoc.asp?DDFDocuments/t/G/SPS/NJPN1340A1.docx</v>
      </c>
      <c r="S942" t="str">
        <f>HYPERLINK("https://docs.wto.org/imrd/directdoc.asp?DDFDocuments/u/G/SPS/NJPN1340A1.docx", "https://docs.wto.org/imrd/directdoc.asp?DDFDocuments/u/G/SPS/NJPN1340A1.docx")</f>
        <v>https://docs.wto.org/imrd/directdoc.asp?DDFDocuments/u/G/SPS/NJPN1340A1.docx</v>
      </c>
      <c r="T942" t="str">
        <f>HYPERLINK("https://docs.wto.org/imrd/directdoc.asp?DDFDocuments/v/G/SPS/NJPN1340A1.docx", "https://docs.wto.org/imrd/directdoc.asp?DDFDocuments/v/G/SPS/NJPN1340A1.docx")</f>
        <v>https://docs.wto.org/imrd/directdoc.asp?DDFDocuments/v/G/SPS/NJPN1340A1.docx</v>
      </c>
      <c r="U942" t="s">
        <v>43</v>
      </c>
      <c r="V942" t="s">
        <v>43</v>
      </c>
      <c r="W942" t="s">
        <v>43</v>
      </c>
      <c r="X942" t="s">
        <v>43</v>
      </c>
      <c r="Y942" t="s">
        <v>43</v>
      </c>
      <c r="Z942" t="s">
        <v>43</v>
      </c>
      <c r="AA942" t="s">
        <v>43</v>
      </c>
      <c r="AB942" s="2" t="s">
        <v>43</v>
      </c>
      <c r="AC942" t="s">
        <v>43</v>
      </c>
      <c r="AD942" t="s">
        <v>43</v>
      </c>
      <c r="AE942" t="s">
        <v>43</v>
      </c>
      <c r="AF942" t="s">
        <v>43</v>
      </c>
      <c r="AG942" t="s">
        <v>43</v>
      </c>
      <c r="AH942" s="2" t="s">
        <v>43</v>
      </c>
    </row>
    <row r="943" spans="1:34" ht="409.5">
      <c r="A943" s="6" t="s">
        <v>82</v>
      </c>
      <c r="B943" s="7">
        <v>46050</v>
      </c>
      <c r="C943" s="9" t="str">
        <f>HYPERLINK("https://eping.wto.org/en/Search?viewData= G/SPS/N/JPN/1344/Add.1"," G/SPS/N/JPN/1344/Add.1")</f>
        <v xml:space="preserve"> G/SPS/N/JPN/1344/Add.1</v>
      </c>
      <c r="D943" s="8" t="s">
        <v>3423</v>
      </c>
      <c r="E943" s="8" t="s">
        <v>3801</v>
      </c>
      <c r="F943" s="8" t="s">
        <v>3802</v>
      </c>
      <c r="G943" s="8" t="s">
        <v>3803</v>
      </c>
      <c r="H943" s="8" t="s">
        <v>43</v>
      </c>
      <c r="I943" s="8" t="s">
        <v>58</v>
      </c>
      <c r="J943" s="8" t="s">
        <v>43</v>
      </c>
      <c r="K943" s="8" t="s">
        <v>3427</v>
      </c>
      <c r="L943" s="6"/>
      <c r="M943" s="7" t="s">
        <v>43</v>
      </c>
      <c r="N943" s="7"/>
      <c r="O943" s="7"/>
      <c r="P943" s="6" t="s">
        <v>44</v>
      </c>
      <c r="Q943" s="8" t="s">
        <v>3804</v>
      </c>
      <c r="R943" t="str">
        <f>HYPERLINK("https://docs.wto.org/imrd/directdoc.asp?DDFDocuments/t/G/SPS/NJPN1344A1.docx", "https://docs.wto.org/imrd/directdoc.asp?DDFDocuments/t/G/SPS/NJPN1344A1.docx")</f>
        <v>https://docs.wto.org/imrd/directdoc.asp?DDFDocuments/t/G/SPS/NJPN1344A1.docx</v>
      </c>
      <c r="S943" t="str">
        <f>HYPERLINK("https://docs.wto.org/imrd/directdoc.asp?DDFDocuments/u/G/SPS/NJPN1344A1.docx", "https://docs.wto.org/imrd/directdoc.asp?DDFDocuments/u/G/SPS/NJPN1344A1.docx")</f>
        <v>https://docs.wto.org/imrd/directdoc.asp?DDFDocuments/u/G/SPS/NJPN1344A1.docx</v>
      </c>
      <c r="T943" t="str">
        <f>HYPERLINK("https://docs.wto.org/imrd/directdoc.asp?DDFDocuments/v/G/SPS/NJPN1344A1.docx", "https://docs.wto.org/imrd/directdoc.asp?DDFDocuments/v/G/SPS/NJPN1344A1.docx")</f>
        <v>https://docs.wto.org/imrd/directdoc.asp?DDFDocuments/v/G/SPS/NJPN1344A1.docx</v>
      </c>
      <c r="U943" t="s">
        <v>43</v>
      </c>
      <c r="V943" t="s">
        <v>43</v>
      </c>
      <c r="W943" t="s">
        <v>43</v>
      </c>
      <c r="X943" t="s">
        <v>43</v>
      </c>
      <c r="Y943" t="s">
        <v>43</v>
      </c>
      <c r="Z943" t="s">
        <v>43</v>
      </c>
      <c r="AA943" t="s">
        <v>43</v>
      </c>
      <c r="AB943" s="2" t="s">
        <v>43</v>
      </c>
      <c r="AC943" t="s">
        <v>43</v>
      </c>
      <c r="AD943" t="s">
        <v>43</v>
      </c>
      <c r="AE943" t="s">
        <v>43</v>
      </c>
      <c r="AF943" t="s">
        <v>43</v>
      </c>
      <c r="AG943" t="s">
        <v>43</v>
      </c>
      <c r="AH943" s="2" t="s">
        <v>43</v>
      </c>
    </row>
    <row r="944" spans="1:34" ht="90">
      <c r="A944" s="6" t="s">
        <v>509</v>
      </c>
      <c r="B944" s="7">
        <v>46050</v>
      </c>
      <c r="C944" s="9" t="str">
        <f>HYPERLINK("https://eping.wto.org/en/Search?viewData= G/TBT/N/BDI/277/Add.3, G/TBT/N/KEN/1311/Add.3, G/TBT/N/RWA/711/Add.3, G/TBT/N/TZA/830/Add.3, G/TBT/N/UGA/1685/Add.3"," G/TBT/N/BDI/277/Add.3, G/TBT/N/KEN/1311/Add.3, G/TBT/N/RWA/711/Add.3, G/TBT/N/TZA/830/Add.3, G/TBT/N/UGA/1685/Add.3")</f>
        <v xml:space="preserve"> G/TBT/N/BDI/277/Add.3, G/TBT/N/KEN/1311/Add.3, G/TBT/N/RWA/711/Add.3, G/TBT/N/TZA/830/Add.3, G/TBT/N/UGA/1685/Add.3</v>
      </c>
      <c r="D944" s="8" t="s">
        <v>3758</v>
      </c>
      <c r="E944" s="8" t="s">
        <v>3759</v>
      </c>
      <c r="F944" s="8" t="s">
        <v>3760</v>
      </c>
      <c r="G944" s="8" t="s">
        <v>3761</v>
      </c>
      <c r="H944" s="8" t="s">
        <v>3269</v>
      </c>
      <c r="I944" s="8" t="s">
        <v>2827</v>
      </c>
      <c r="J944" s="8" t="s">
        <v>43</v>
      </c>
      <c r="K944" s="8" t="s">
        <v>43</v>
      </c>
      <c r="L944" s="6"/>
      <c r="M944" s="7" t="s">
        <v>43</v>
      </c>
      <c r="N944" s="7"/>
      <c r="O944" s="7"/>
      <c r="P944" s="6" t="s">
        <v>44</v>
      </c>
      <c r="Q944" s="6"/>
      <c r="R944" t="str">
        <f>HYPERLINK("https://docs.wto.org/imrd/directdoc.asp?DDFDocuments/t/G/TBTN22/BDI277A3.docx", "https://docs.wto.org/imrd/directdoc.asp?DDFDocuments/t/G/TBTN22/BDI277A3.docx")</f>
        <v>https://docs.wto.org/imrd/directdoc.asp?DDFDocuments/t/G/TBTN22/BDI277A3.docx</v>
      </c>
      <c r="S944" t="str">
        <f>HYPERLINK("https://docs.wto.org/imrd/directdoc.asp?DDFDocuments/u/G/TBTN22/BDI277A3.docx", "https://docs.wto.org/imrd/directdoc.asp?DDFDocuments/u/G/TBTN22/BDI277A3.docx")</f>
        <v>https://docs.wto.org/imrd/directdoc.asp?DDFDocuments/u/G/TBTN22/BDI277A3.docx</v>
      </c>
      <c r="T944" t="str">
        <f>HYPERLINK("https://docs.wto.org/imrd/directdoc.asp?DDFDocuments/v/G/TBTN22/BDI277A3.docx", "https://docs.wto.org/imrd/directdoc.asp?DDFDocuments/v/G/TBTN22/BDI277A3.docx")</f>
        <v>https://docs.wto.org/imrd/directdoc.asp?DDFDocuments/v/G/TBTN22/BDI277A3.docx</v>
      </c>
      <c r="U944" t="s">
        <v>64</v>
      </c>
      <c r="V944" t="s">
        <v>46</v>
      </c>
      <c r="W944" t="s">
        <v>64</v>
      </c>
      <c r="X944" t="s">
        <v>46</v>
      </c>
      <c r="Y944" t="s">
        <v>46</v>
      </c>
      <c r="Z944" t="s">
        <v>46</v>
      </c>
      <c r="AA944" t="s">
        <v>46</v>
      </c>
      <c r="AB944" s="2" t="s">
        <v>43</v>
      </c>
      <c r="AC944" t="s">
        <v>43</v>
      </c>
      <c r="AD944" t="s">
        <v>43</v>
      </c>
      <c r="AE944" t="s">
        <v>43</v>
      </c>
      <c r="AF944" t="s">
        <v>43</v>
      </c>
      <c r="AG944" t="s">
        <v>43</v>
      </c>
      <c r="AH944" s="2" t="s">
        <v>43</v>
      </c>
    </row>
    <row r="945" spans="1:34" ht="75">
      <c r="A945" s="6" t="s">
        <v>124</v>
      </c>
      <c r="B945" s="7">
        <v>46050</v>
      </c>
      <c r="C945" s="9" t="str">
        <f>HYPERLINK("https://eping.wto.org/en/Search?viewData= G/TBT/N/BDI/197/Add.3, G/TBT/N/KEN/1188/Add.3, G/TBT/N/RWA/588/Add.3, G/TBT/N/TZA/685/Add.3, G/TBT/N/UGA/1527/Add.3"," G/TBT/N/BDI/197/Add.3, G/TBT/N/KEN/1188/Add.3, G/TBT/N/RWA/588/Add.3, G/TBT/N/TZA/685/Add.3, G/TBT/N/UGA/1527/Add.3")</f>
        <v xml:space="preserve"> G/TBT/N/BDI/197/Add.3, G/TBT/N/KEN/1188/Add.3, G/TBT/N/RWA/588/Add.3, G/TBT/N/TZA/685/Add.3, G/TBT/N/UGA/1527/Add.3</v>
      </c>
      <c r="D945" s="8" t="s">
        <v>3710</v>
      </c>
      <c r="E945" s="8" t="s">
        <v>3711</v>
      </c>
      <c r="F945" s="8" t="s">
        <v>3712</v>
      </c>
      <c r="G945" s="8" t="s">
        <v>3713</v>
      </c>
      <c r="H945" s="8" t="s">
        <v>3714</v>
      </c>
      <c r="I945" s="8" t="s">
        <v>2822</v>
      </c>
      <c r="J945" s="8" t="s">
        <v>43</v>
      </c>
      <c r="K945" s="8" t="s">
        <v>43</v>
      </c>
      <c r="L945" s="6"/>
      <c r="M945" s="7" t="s">
        <v>43</v>
      </c>
      <c r="N945" s="7"/>
      <c r="O945" s="7"/>
      <c r="P945" s="6" t="s">
        <v>44</v>
      </c>
      <c r="Q945" s="6"/>
      <c r="R945" t="str">
        <f>HYPERLINK("https://docs.wto.org/imrd/directdoc.asp?DDFDocuments/t/G/TBTN21/BDI197A3.docx", "https://docs.wto.org/imrd/directdoc.asp?DDFDocuments/t/G/TBTN21/BDI197A3.docx")</f>
        <v>https://docs.wto.org/imrd/directdoc.asp?DDFDocuments/t/G/TBTN21/BDI197A3.docx</v>
      </c>
      <c r="S945" t="str">
        <f>HYPERLINK("https://docs.wto.org/imrd/directdoc.asp?DDFDocuments/u/G/TBTN21/BDI197A3.docx", "https://docs.wto.org/imrd/directdoc.asp?DDFDocuments/u/G/TBTN21/BDI197A3.docx")</f>
        <v>https://docs.wto.org/imrd/directdoc.asp?DDFDocuments/u/G/TBTN21/BDI197A3.docx</v>
      </c>
      <c r="T945" t="str">
        <f>HYPERLINK("https://docs.wto.org/imrd/directdoc.asp?DDFDocuments/v/G/TBTN21/BDI197A3.docx", "https://docs.wto.org/imrd/directdoc.asp?DDFDocuments/v/G/TBTN21/BDI197A3.docx")</f>
        <v>https://docs.wto.org/imrd/directdoc.asp?DDFDocuments/v/G/TBTN21/BDI197A3.docx</v>
      </c>
      <c r="U945" t="s">
        <v>64</v>
      </c>
      <c r="V945" t="s">
        <v>46</v>
      </c>
      <c r="W945" t="s">
        <v>64</v>
      </c>
      <c r="X945" t="s">
        <v>46</v>
      </c>
      <c r="Y945" t="s">
        <v>46</v>
      </c>
      <c r="Z945" t="s">
        <v>46</v>
      </c>
      <c r="AA945" t="s">
        <v>46</v>
      </c>
      <c r="AB945" s="2" t="s">
        <v>43</v>
      </c>
      <c r="AC945" t="s">
        <v>43</v>
      </c>
      <c r="AD945" t="s">
        <v>43</v>
      </c>
      <c r="AE945" t="s">
        <v>43</v>
      </c>
      <c r="AF945" t="s">
        <v>43</v>
      </c>
      <c r="AG945" t="s">
        <v>43</v>
      </c>
      <c r="AH945" s="2" t="s">
        <v>43</v>
      </c>
    </row>
    <row r="946" spans="1:34" ht="60">
      <c r="A946" s="6" t="s">
        <v>390</v>
      </c>
      <c r="B946" s="7">
        <v>46050</v>
      </c>
      <c r="C946" s="9" t="str">
        <f>HYPERLINK("https://eping.wto.org/en/Search?viewData= G/TBT/N/BDI/150/Add.3, G/TBT/N/RWA/529/Add.3, G/TBT/N/TZA/639/Add.3, G/TBT/N/UGA/1439/Add.3"," G/TBT/N/BDI/150/Add.3, G/TBT/N/RWA/529/Add.3, G/TBT/N/TZA/639/Add.3, G/TBT/N/UGA/1439/Add.3")</f>
        <v xml:space="preserve"> G/TBT/N/BDI/150/Add.3, G/TBT/N/RWA/529/Add.3, G/TBT/N/TZA/639/Add.3, G/TBT/N/UGA/1439/Add.3</v>
      </c>
      <c r="D946" s="8" t="s">
        <v>3805</v>
      </c>
      <c r="E946" s="8" t="s">
        <v>3806</v>
      </c>
      <c r="F946" s="8" t="s">
        <v>3807</v>
      </c>
      <c r="G946" s="8" t="s">
        <v>3808</v>
      </c>
      <c r="H946" s="8" t="s">
        <v>3714</v>
      </c>
      <c r="I946" s="8" t="s">
        <v>2854</v>
      </c>
      <c r="J946" s="8" t="s">
        <v>43</v>
      </c>
      <c r="K946" s="8" t="s">
        <v>350</v>
      </c>
      <c r="L946" s="6"/>
      <c r="M946" s="7" t="s">
        <v>43</v>
      </c>
      <c r="N946" s="7"/>
      <c r="O946" s="7"/>
      <c r="P946" s="6" t="s">
        <v>44</v>
      </c>
      <c r="Q946" s="6"/>
      <c r="R946" t="str">
        <f>HYPERLINK("https://docs.wto.org/imrd/directdoc.asp?DDFDocuments/t/G/TBTN21/BDI150A3.docx", "https://docs.wto.org/imrd/directdoc.asp?DDFDocuments/t/G/TBTN21/BDI150A3.docx")</f>
        <v>https://docs.wto.org/imrd/directdoc.asp?DDFDocuments/t/G/TBTN21/BDI150A3.docx</v>
      </c>
      <c r="S946" t="str">
        <f>HYPERLINK("https://docs.wto.org/imrd/directdoc.asp?DDFDocuments/u/G/TBTN21/BDI150A3.docx", "https://docs.wto.org/imrd/directdoc.asp?DDFDocuments/u/G/TBTN21/BDI150A3.docx")</f>
        <v>https://docs.wto.org/imrd/directdoc.asp?DDFDocuments/u/G/TBTN21/BDI150A3.docx</v>
      </c>
      <c r="T946" t="str">
        <f>HYPERLINK("https://docs.wto.org/imrd/directdoc.asp?DDFDocuments/v/G/TBTN21/BDI150A3.docx", "https://docs.wto.org/imrd/directdoc.asp?DDFDocuments/v/G/TBTN21/BDI150A3.docx")</f>
        <v>https://docs.wto.org/imrd/directdoc.asp?DDFDocuments/v/G/TBTN21/BDI150A3.docx</v>
      </c>
      <c r="U946" t="s">
        <v>64</v>
      </c>
      <c r="V946" t="s">
        <v>46</v>
      </c>
      <c r="W946" t="s">
        <v>46</v>
      </c>
      <c r="X946" t="s">
        <v>46</v>
      </c>
      <c r="Y946" t="s">
        <v>46</v>
      </c>
      <c r="Z946" t="s">
        <v>46</v>
      </c>
      <c r="AA946" t="s">
        <v>46</v>
      </c>
      <c r="AB946" s="2" t="s">
        <v>43</v>
      </c>
      <c r="AC946" t="s">
        <v>43</v>
      </c>
      <c r="AD946" t="s">
        <v>43</v>
      </c>
      <c r="AE946" t="s">
        <v>43</v>
      </c>
      <c r="AF946" t="s">
        <v>43</v>
      </c>
      <c r="AG946" t="s">
        <v>43</v>
      </c>
      <c r="AH946" s="2" t="s">
        <v>43</v>
      </c>
    </row>
    <row r="947" spans="1:34" ht="60">
      <c r="A947" s="6" t="s">
        <v>185</v>
      </c>
      <c r="B947" s="7">
        <v>46050</v>
      </c>
      <c r="C947" s="9" t="str">
        <f>HYPERLINK("https://eping.wto.org/en/Search?viewData= G/TBT/N/CHN/2192"," G/TBT/N/CHN/2192")</f>
        <v xml:space="preserve"> G/TBT/N/CHN/2192</v>
      </c>
      <c r="D947" s="8" t="s">
        <v>3809</v>
      </c>
      <c r="E947" s="8" t="s">
        <v>3810</v>
      </c>
      <c r="F947" s="8" t="s">
        <v>3811</v>
      </c>
      <c r="G947" s="8" t="s">
        <v>3741</v>
      </c>
      <c r="H947" s="8" t="s">
        <v>412</v>
      </c>
      <c r="I947" s="8" t="s">
        <v>413</v>
      </c>
      <c r="J947" s="8" t="s">
        <v>43</v>
      </c>
      <c r="K947" s="8" t="s">
        <v>43</v>
      </c>
      <c r="L947" s="6"/>
      <c r="M947" s="7">
        <v>46110</v>
      </c>
      <c r="N947" s="7" t="s">
        <v>79</v>
      </c>
      <c r="O947" s="7" t="s">
        <v>414</v>
      </c>
      <c r="P947" s="6" t="s">
        <v>62</v>
      </c>
      <c r="Q947" s="8" t="s">
        <v>3812</v>
      </c>
      <c r="R947" t="str">
        <f>HYPERLINK("https://docs.wto.org/imrd/directdoc.asp?DDFDocuments/t/G/TBTN26/CHN2192.docx", "https://docs.wto.org/imrd/directdoc.asp?DDFDocuments/t/G/TBTN26/CHN2192.docx")</f>
        <v>https://docs.wto.org/imrd/directdoc.asp?DDFDocuments/t/G/TBTN26/CHN2192.docx</v>
      </c>
      <c r="S947" t="str">
        <f>HYPERLINK("https://docs.wto.org/imrd/directdoc.asp?DDFDocuments/u/G/TBTN26/CHN2192.docx", "https://docs.wto.org/imrd/directdoc.asp?DDFDocuments/u/G/TBTN26/CHN2192.docx")</f>
        <v>https://docs.wto.org/imrd/directdoc.asp?DDFDocuments/u/G/TBTN26/CHN2192.docx</v>
      </c>
      <c r="T947" t="str">
        <f>HYPERLINK("https://docs.wto.org/imrd/directdoc.asp?DDFDocuments/v/G/TBTN26/CHN2192.docx", "https://docs.wto.org/imrd/directdoc.asp?DDFDocuments/v/G/TBTN26/CHN2192.docx")</f>
        <v>https://docs.wto.org/imrd/directdoc.asp?DDFDocuments/v/G/TBTN26/CHN2192.docx</v>
      </c>
      <c r="U947" t="s">
        <v>64</v>
      </c>
      <c r="V947" t="s">
        <v>46</v>
      </c>
      <c r="W947" t="s">
        <v>46</v>
      </c>
      <c r="X947" t="s">
        <v>46</v>
      </c>
      <c r="Y947" t="s">
        <v>46</v>
      </c>
      <c r="Z947" t="s">
        <v>46</v>
      </c>
      <c r="AA947" t="s">
        <v>46</v>
      </c>
      <c r="AB947" s="2" t="s">
        <v>43</v>
      </c>
      <c r="AC947" t="s">
        <v>43</v>
      </c>
      <c r="AD947" t="s">
        <v>43</v>
      </c>
      <c r="AE947" t="s">
        <v>43</v>
      </c>
      <c r="AF947" t="s">
        <v>43</v>
      </c>
      <c r="AG947" t="s">
        <v>43</v>
      </c>
      <c r="AH947" s="2" t="s">
        <v>43</v>
      </c>
    </row>
    <row r="948" spans="1:34" ht="75">
      <c r="A948" s="6" t="s">
        <v>3813</v>
      </c>
      <c r="B948" s="7">
        <v>46050</v>
      </c>
      <c r="C948" s="9" t="str">
        <f>HYPERLINK("https://eping.wto.org/en/Search?viewData= G/TBT/N/TTO/146"," G/TBT/N/TTO/146")</f>
        <v xml:space="preserve"> G/TBT/N/TTO/146</v>
      </c>
      <c r="D948" s="8" t="s">
        <v>3814</v>
      </c>
      <c r="E948" s="8" t="s">
        <v>3815</v>
      </c>
      <c r="F948" s="8" t="s">
        <v>3816</v>
      </c>
      <c r="G948" s="8" t="s">
        <v>3817</v>
      </c>
      <c r="H948" s="8" t="s">
        <v>43</v>
      </c>
      <c r="I948" s="8" t="s">
        <v>3818</v>
      </c>
      <c r="J948" s="8" t="s">
        <v>43</v>
      </c>
      <c r="K948" s="8" t="s">
        <v>43</v>
      </c>
      <c r="L948" s="6"/>
      <c r="M948" s="7">
        <v>46110</v>
      </c>
      <c r="N948" s="7" t="s">
        <v>79</v>
      </c>
      <c r="O948" s="7" t="s">
        <v>79</v>
      </c>
      <c r="P948" s="6" t="s">
        <v>62</v>
      </c>
      <c r="Q948" s="8" t="s">
        <v>3819</v>
      </c>
      <c r="R948" t="str">
        <f>HYPERLINK("https://docs.wto.org/imrd/directdoc.asp?DDFDocuments/t/G/TBTN26/TTO146.docx", "https://docs.wto.org/imrd/directdoc.asp?DDFDocuments/t/G/TBTN26/TTO146.docx")</f>
        <v>https://docs.wto.org/imrd/directdoc.asp?DDFDocuments/t/G/TBTN26/TTO146.docx</v>
      </c>
      <c r="S948" t="str">
        <f>HYPERLINK("https://docs.wto.org/imrd/directdoc.asp?DDFDocuments/u/G/TBTN26/TTO146.docx", "https://docs.wto.org/imrd/directdoc.asp?DDFDocuments/u/G/TBTN26/TTO146.docx")</f>
        <v>https://docs.wto.org/imrd/directdoc.asp?DDFDocuments/u/G/TBTN26/TTO146.docx</v>
      </c>
      <c r="T948" t="str">
        <f>HYPERLINK("https://docs.wto.org/imrd/directdoc.asp?DDFDocuments/v/G/TBTN26/TTO146.docx", "https://docs.wto.org/imrd/directdoc.asp?DDFDocuments/v/G/TBTN26/TTO146.docx")</f>
        <v>https://docs.wto.org/imrd/directdoc.asp?DDFDocuments/v/G/TBTN26/TTO146.docx</v>
      </c>
      <c r="U948" t="s">
        <v>64</v>
      </c>
      <c r="V948" t="s">
        <v>46</v>
      </c>
      <c r="W948" t="s">
        <v>46</v>
      </c>
      <c r="X948" t="s">
        <v>46</v>
      </c>
      <c r="Y948" t="s">
        <v>46</v>
      </c>
      <c r="Z948" t="s">
        <v>46</v>
      </c>
      <c r="AA948" t="s">
        <v>46</v>
      </c>
      <c r="AB948" s="2" t="s">
        <v>43</v>
      </c>
      <c r="AC948" t="s">
        <v>43</v>
      </c>
      <c r="AD948" t="s">
        <v>43</v>
      </c>
      <c r="AE948" t="s">
        <v>43</v>
      </c>
      <c r="AF948" t="s">
        <v>43</v>
      </c>
      <c r="AG948" t="s">
        <v>43</v>
      </c>
      <c r="AH948" s="2" t="s">
        <v>43</v>
      </c>
    </row>
    <row r="949" spans="1:34" ht="150">
      <c r="A949" s="6" t="s">
        <v>3813</v>
      </c>
      <c r="B949" s="7">
        <v>46050</v>
      </c>
      <c r="C949" s="9" t="str">
        <f>HYPERLINK("https://eping.wto.org/en/Search?viewData= G/TBT/N/TTO/145"," G/TBT/N/TTO/145")</f>
        <v xml:space="preserve"> G/TBT/N/TTO/145</v>
      </c>
      <c r="D949" s="8" t="s">
        <v>3820</v>
      </c>
      <c r="E949" s="8" t="s">
        <v>3821</v>
      </c>
      <c r="F949" s="8" t="s">
        <v>3822</v>
      </c>
      <c r="G949" s="8" t="s">
        <v>3823</v>
      </c>
      <c r="H949" s="8" t="s">
        <v>43</v>
      </c>
      <c r="I949" s="8" t="s">
        <v>3824</v>
      </c>
      <c r="J949" s="8" t="s">
        <v>43</v>
      </c>
      <c r="K949" s="8" t="s">
        <v>43</v>
      </c>
      <c r="L949" s="6"/>
      <c r="M949" s="7">
        <v>46110</v>
      </c>
      <c r="N949" s="7" t="s">
        <v>79</v>
      </c>
      <c r="O949" s="7" t="s">
        <v>79</v>
      </c>
      <c r="P949" s="6" t="s">
        <v>62</v>
      </c>
      <c r="Q949" s="8" t="s">
        <v>3825</v>
      </c>
      <c r="R949" t="str">
        <f>HYPERLINK("https://docs.wto.org/imrd/directdoc.asp?DDFDocuments/t/G/TBTN26/TTO145.docx", "https://docs.wto.org/imrd/directdoc.asp?DDFDocuments/t/G/TBTN26/TTO145.docx")</f>
        <v>https://docs.wto.org/imrd/directdoc.asp?DDFDocuments/t/G/TBTN26/TTO145.docx</v>
      </c>
      <c r="S949" t="str">
        <f>HYPERLINK("https://docs.wto.org/imrd/directdoc.asp?DDFDocuments/u/G/TBTN26/TTO145.docx", "https://docs.wto.org/imrd/directdoc.asp?DDFDocuments/u/G/TBTN26/TTO145.docx")</f>
        <v>https://docs.wto.org/imrd/directdoc.asp?DDFDocuments/u/G/TBTN26/TTO145.docx</v>
      </c>
      <c r="T949" t="str">
        <f>HYPERLINK("https://docs.wto.org/imrd/directdoc.asp?DDFDocuments/v/G/TBTN26/TTO145.docx", "https://docs.wto.org/imrd/directdoc.asp?DDFDocuments/v/G/TBTN26/TTO145.docx")</f>
        <v>https://docs.wto.org/imrd/directdoc.asp?DDFDocuments/v/G/TBTN26/TTO145.docx</v>
      </c>
      <c r="U949" t="s">
        <v>64</v>
      </c>
      <c r="V949" t="s">
        <v>46</v>
      </c>
      <c r="W949" t="s">
        <v>46</v>
      </c>
      <c r="X949" t="s">
        <v>46</v>
      </c>
      <c r="Y949" t="s">
        <v>46</v>
      </c>
      <c r="Z949" t="s">
        <v>46</v>
      </c>
      <c r="AA949" t="s">
        <v>46</v>
      </c>
      <c r="AB949" s="2" t="s">
        <v>43</v>
      </c>
      <c r="AC949" t="s">
        <v>43</v>
      </c>
      <c r="AD949" t="s">
        <v>43</v>
      </c>
      <c r="AE949" t="s">
        <v>43</v>
      </c>
      <c r="AF949" t="s">
        <v>43</v>
      </c>
      <c r="AG949" t="s">
        <v>43</v>
      </c>
      <c r="AH949" s="2" t="s">
        <v>43</v>
      </c>
    </row>
    <row r="950" spans="1:34" ht="75">
      <c r="A950" s="6" t="s">
        <v>108</v>
      </c>
      <c r="B950" s="7">
        <v>46050</v>
      </c>
      <c r="C950" s="9" t="str">
        <f>HYPERLINK("https://eping.wto.org/en/Search?viewData= G/TBT/N/BDI/150/Add.3, G/TBT/N/RWA/529/Add.3, G/TBT/N/TZA/639/Add.3, G/TBT/N/UGA/1439/Add.3"," G/TBT/N/BDI/150/Add.3, G/TBT/N/RWA/529/Add.3, G/TBT/N/TZA/639/Add.3, G/TBT/N/UGA/1439/Add.3")</f>
        <v xml:space="preserve"> G/TBT/N/BDI/150/Add.3, G/TBT/N/RWA/529/Add.3, G/TBT/N/TZA/639/Add.3, G/TBT/N/UGA/1439/Add.3</v>
      </c>
      <c r="D950" s="8" t="s">
        <v>3805</v>
      </c>
      <c r="E950" s="8" t="s">
        <v>3806</v>
      </c>
      <c r="F950" s="8" t="s">
        <v>3807</v>
      </c>
      <c r="G950" s="8" t="s">
        <v>3808</v>
      </c>
      <c r="H950" s="8" t="s">
        <v>3714</v>
      </c>
      <c r="I950" s="8" t="s">
        <v>2822</v>
      </c>
      <c r="J950" s="8" t="s">
        <v>43</v>
      </c>
      <c r="K950" s="8" t="s">
        <v>350</v>
      </c>
      <c r="L950" s="6"/>
      <c r="M950" s="7" t="s">
        <v>43</v>
      </c>
      <c r="N950" s="7"/>
      <c r="O950" s="7"/>
      <c r="P950" s="6" t="s">
        <v>44</v>
      </c>
      <c r="Q950" s="6"/>
      <c r="R950" t="str">
        <f>HYPERLINK("https://docs.wto.org/imrd/directdoc.asp?DDFDocuments/t/G/TBTN21/BDI150A3.docx", "https://docs.wto.org/imrd/directdoc.asp?DDFDocuments/t/G/TBTN21/BDI150A3.docx")</f>
        <v>https://docs.wto.org/imrd/directdoc.asp?DDFDocuments/t/G/TBTN21/BDI150A3.docx</v>
      </c>
      <c r="S950" t="str">
        <f>HYPERLINK("https://docs.wto.org/imrd/directdoc.asp?DDFDocuments/u/G/TBTN21/BDI150A3.docx", "https://docs.wto.org/imrd/directdoc.asp?DDFDocuments/u/G/TBTN21/BDI150A3.docx")</f>
        <v>https://docs.wto.org/imrd/directdoc.asp?DDFDocuments/u/G/TBTN21/BDI150A3.docx</v>
      </c>
      <c r="T950" t="str">
        <f>HYPERLINK("https://docs.wto.org/imrd/directdoc.asp?DDFDocuments/v/G/TBTN21/BDI150A3.docx", "https://docs.wto.org/imrd/directdoc.asp?DDFDocuments/v/G/TBTN21/BDI150A3.docx")</f>
        <v>https://docs.wto.org/imrd/directdoc.asp?DDFDocuments/v/G/TBTN21/BDI150A3.docx</v>
      </c>
      <c r="U950" t="s">
        <v>64</v>
      </c>
      <c r="V950" t="s">
        <v>46</v>
      </c>
      <c r="W950" t="s">
        <v>46</v>
      </c>
      <c r="X950" t="s">
        <v>46</v>
      </c>
      <c r="Y950" t="s">
        <v>46</v>
      </c>
      <c r="Z950" t="s">
        <v>46</v>
      </c>
      <c r="AA950" t="s">
        <v>46</v>
      </c>
      <c r="AB950" s="2" t="s">
        <v>43</v>
      </c>
      <c r="AC950" t="s">
        <v>43</v>
      </c>
      <c r="AD950" t="s">
        <v>43</v>
      </c>
      <c r="AE950" t="s">
        <v>43</v>
      </c>
      <c r="AF950" t="s">
        <v>43</v>
      </c>
      <c r="AG950" t="s">
        <v>43</v>
      </c>
      <c r="AH950" s="2" t="s">
        <v>43</v>
      </c>
    </row>
    <row r="951" spans="1:34" ht="75">
      <c r="A951" s="6" t="s">
        <v>577</v>
      </c>
      <c r="B951" s="7">
        <v>46050</v>
      </c>
      <c r="C951" s="9" t="str">
        <f>HYPERLINK("https://eping.wto.org/en/Search?viewData= G/TBT/N/BDI/197/Add.3, G/TBT/N/KEN/1188/Add.3, G/TBT/N/RWA/588/Add.3, G/TBT/N/TZA/685/Add.3, G/TBT/N/UGA/1527/Add.3"," G/TBT/N/BDI/197/Add.3, G/TBT/N/KEN/1188/Add.3, G/TBT/N/RWA/588/Add.3, G/TBT/N/TZA/685/Add.3, G/TBT/N/UGA/1527/Add.3")</f>
        <v xml:space="preserve"> G/TBT/N/BDI/197/Add.3, G/TBT/N/KEN/1188/Add.3, G/TBT/N/RWA/588/Add.3, G/TBT/N/TZA/685/Add.3, G/TBT/N/UGA/1527/Add.3</v>
      </c>
      <c r="D951" s="8" t="s">
        <v>3710</v>
      </c>
      <c r="E951" s="8" t="s">
        <v>3711</v>
      </c>
      <c r="F951" s="8" t="s">
        <v>3712</v>
      </c>
      <c r="G951" s="8" t="s">
        <v>3713</v>
      </c>
      <c r="H951" s="8" t="s">
        <v>3714</v>
      </c>
      <c r="I951" s="8" t="s">
        <v>2822</v>
      </c>
      <c r="J951" s="8" t="s">
        <v>43</v>
      </c>
      <c r="K951" s="8" t="s">
        <v>43</v>
      </c>
      <c r="L951" s="6"/>
      <c r="M951" s="7" t="s">
        <v>43</v>
      </c>
      <c r="N951" s="7"/>
      <c r="O951" s="7"/>
      <c r="P951" s="6" t="s">
        <v>44</v>
      </c>
      <c r="Q951" s="6"/>
      <c r="R951" t="str">
        <f>HYPERLINK("https://docs.wto.org/imrd/directdoc.asp?DDFDocuments/t/G/TBTN21/BDI197A3.docx", "https://docs.wto.org/imrd/directdoc.asp?DDFDocuments/t/G/TBTN21/BDI197A3.docx")</f>
        <v>https://docs.wto.org/imrd/directdoc.asp?DDFDocuments/t/G/TBTN21/BDI197A3.docx</v>
      </c>
      <c r="S951" t="str">
        <f>HYPERLINK("https://docs.wto.org/imrd/directdoc.asp?DDFDocuments/u/G/TBTN21/BDI197A3.docx", "https://docs.wto.org/imrd/directdoc.asp?DDFDocuments/u/G/TBTN21/BDI197A3.docx")</f>
        <v>https://docs.wto.org/imrd/directdoc.asp?DDFDocuments/u/G/TBTN21/BDI197A3.docx</v>
      </c>
      <c r="T951" t="str">
        <f>HYPERLINK("https://docs.wto.org/imrd/directdoc.asp?DDFDocuments/v/G/TBTN21/BDI197A3.docx", "https://docs.wto.org/imrd/directdoc.asp?DDFDocuments/v/G/TBTN21/BDI197A3.docx")</f>
        <v>https://docs.wto.org/imrd/directdoc.asp?DDFDocuments/v/G/TBTN21/BDI197A3.docx</v>
      </c>
      <c r="U951" t="s">
        <v>64</v>
      </c>
      <c r="V951" t="s">
        <v>46</v>
      </c>
      <c r="W951" t="s">
        <v>64</v>
      </c>
      <c r="X951" t="s">
        <v>46</v>
      </c>
      <c r="Y951" t="s">
        <v>46</v>
      </c>
      <c r="Z951" t="s">
        <v>46</v>
      </c>
      <c r="AA951" t="s">
        <v>46</v>
      </c>
      <c r="AB951" s="2" t="s">
        <v>43</v>
      </c>
      <c r="AC951" t="s">
        <v>43</v>
      </c>
      <c r="AD951" t="s">
        <v>43</v>
      </c>
      <c r="AE951" t="s">
        <v>43</v>
      </c>
      <c r="AF951" t="s">
        <v>43</v>
      </c>
      <c r="AG951" t="s">
        <v>43</v>
      </c>
      <c r="AH951" s="2" t="s">
        <v>43</v>
      </c>
    </row>
    <row r="952" spans="1:34" ht="60">
      <c r="A952" s="6" t="s">
        <v>904</v>
      </c>
      <c r="B952" s="7">
        <v>46050</v>
      </c>
      <c r="C952" s="9" t="str">
        <f>HYPERLINK("https://eping.wto.org/en/Search?viewData= G/SPS/N/MEX/462"," G/SPS/N/MEX/462")</f>
        <v xml:space="preserve"> G/SPS/N/MEX/462</v>
      </c>
      <c r="D952" s="8" t="s">
        <v>3826</v>
      </c>
      <c r="E952" s="8" t="s">
        <v>3827</v>
      </c>
      <c r="F952" s="8" t="s">
        <v>3828</v>
      </c>
      <c r="G952" s="8" t="s">
        <v>43</v>
      </c>
      <c r="H952" s="8" t="s">
        <v>43</v>
      </c>
      <c r="I952" s="8" t="s">
        <v>1054</v>
      </c>
      <c r="J952" s="8" t="s">
        <v>43</v>
      </c>
      <c r="K952" s="8" t="s">
        <v>95</v>
      </c>
      <c r="L952" s="6" t="s">
        <v>756</v>
      </c>
      <c r="M952" s="7">
        <v>46110</v>
      </c>
      <c r="N952" s="7" t="s">
        <v>79</v>
      </c>
      <c r="O952" s="7" t="s">
        <v>79</v>
      </c>
      <c r="P952" s="6" t="s">
        <v>62</v>
      </c>
      <c r="Q952" s="8" t="s">
        <v>3829</v>
      </c>
      <c r="R952" t="str">
        <f>HYPERLINK("https://docs.wto.org/imrd/directdoc.asp?DDFDocuments/t/G/SPS/NMEX462.docx", "https://docs.wto.org/imrd/directdoc.asp?DDFDocuments/t/G/SPS/NMEX462.docx")</f>
        <v>https://docs.wto.org/imrd/directdoc.asp?DDFDocuments/t/G/SPS/NMEX462.docx</v>
      </c>
      <c r="S952" t="str">
        <f>HYPERLINK("https://docs.wto.org/imrd/directdoc.asp?DDFDocuments/u/G/SPS/NMEX462.docx", "https://docs.wto.org/imrd/directdoc.asp?DDFDocuments/u/G/SPS/NMEX462.docx")</f>
        <v>https://docs.wto.org/imrd/directdoc.asp?DDFDocuments/u/G/SPS/NMEX462.docx</v>
      </c>
      <c r="T952" t="str">
        <f>HYPERLINK("https://docs.wto.org/imrd/directdoc.asp?DDFDocuments/v/G/SPS/NMEX462.docx", "https://docs.wto.org/imrd/directdoc.asp?DDFDocuments/v/G/SPS/NMEX462.docx")</f>
        <v>https://docs.wto.org/imrd/directdoc.asp?DDFDocuments/v/G/SPS/NMEX462.docx</v>
      </c>
      <c r="U952" t="s">
        <v>43</v>
      </c>
      <c r="V952" t="s">
        <v>43</v>
      </c>
      <c r="W952" t="s">
        <v>43</v>
      </c>
      <c r="X952" t="s">
        <v>43</v>
      </c>
      <c r="Y952" t="s">
        <v>43</v>
      </c>
      <c r="Z952" t="s">
        <v>43</v>
      </c>
      <c r="AA952" t="s">
        <v>43</v>
      </c>
      <c r="AB952" s="2" t="s">
        <v>43</v>
      </c>
      <c r="AC952" t="s">
        <v>46</v>
      </c>
      <c r="AD952" t="s">
        <v>46</v>
      </c>
      <c r="AE952" t="s">
        <v>46</v>
      </c>
      <c r="AF952" t="s">
        <v>64</v>
      </c>
      <c r="AG952" t="s">
        <v>99</v>
      </c>
      <c r="AH952" s="2" t="s">
        <v>3830</v>
      </c>
    </row>
    <row r="953" spans="1:34" ht="75">
      <c r="A953" s="6" t="s">
        <v>509</v>
      </c>
      <c r="B953" s="7">
        <v>46050</v>
      </c>
      <c r="C953" s="9" t="str">
        <f>HYPERLINK("https://eping.wto.org/en/Search?viewData= G/TBT/N/BDI/150/Add.3, G/TBT/N/RWA/529/Add.3, G/TBT/N/TZA/639/Add.3, G/TBT/N/UGA/1439/Add.3"," G/TBT/N/BDI/150/Add.3, G/TBT/N/RWA/529/Add.3, G/TBT/N/TZA/639/Add.3, G/TBT/N/UGA/1439/Add.3")</f>
        <v xml:space="preserve"> G/TBT/N/BDI/150/Add.3, G/TBT/N/RWA/529/Add.3, G/TBT/N/TZA/639/Add.3, G/TBT/N/UGA/1439/Add.3</v>
      </c>
      <c r="D953" s="8" t="s">
        <v>3805</v>
      </c>
      <c r="E953" s="8" t="s">
        <v>3806</v>
      </c>
      <c r="F953" s="8" t="s">
        <v>3807</v>
      </c>
      <c r="G953" s="8" t="s">
        <v>3808</v>
      </c>
      <c r="H953" s="8" t="s">
        <v>3714</v>
      </c>
      <c r="I953" s="8" t="s">
        <v>2822</v>
      </c>
      <c r="J953" s="8" t="s">
        <v>43</v>
      </c>
      <c r="K953" s="8" t="s">
        <v>350</v>
      </c>
      <c r="L953" s="6"/>
      <c r="M953" s="7" t="s">
        <v>43</v>
      </c>
      <c r="N953" s="7"/>
      <c r="O953" s="7"/>
      <c r="P953" s="6" t="s">
        <v>44</v>
      </c>
      <c r="Q953" s="6"/>
      <c r="R953" t="str">
        <f>HYPERLINK("https://docs.wto.org/imrd/directdoc.asp?DDFDocuments/t/G/TBTN21/BDI150A3.docx", "https://docs.wto.org/imrd/directdoc.asp?DDFDocuments/t/G/TBTN21/BDI150A3.docx")</f>
        <v>https://docs.wto.org/imrd/directdoc.asp?DDFDocuments/t/G/TBTN21/BDI150A3.docx</v>
      </c>
      <c r="S953" t="str">
        <f>HYPERLINK("https://docs.wto.org/imrd/directdoc.asp?DDFDocuments/u/G/TBTN21/BDI150A3.docx", "https://docs.wto.org/imrd/directdoc.asp?DDFDocuments/u/G/TBTN21/BDI150A3.docx")</f>
        <v>https://docs.wto.org/imrd/directdoc.asp?DDFDocuments/u/G/TBTN21/BDI150A3.docx</v>
      </c>
      <c r="T953" t="str">
        <f>HYPERLINK("https://docs.wto.org/imrd/directdoc.asp?DDFDocuments/v/G/TBTN21/BDI150A3.docx", "https://docs.wto.org/imrd/directdoc.asp?DDFDocuments/v/G/TBTN21/BDI150A3.docx")</f>
        <v>https://docs.wto.org/imrd/directdoc.asp?DDFDocuments/v/G/TBTN21/BDI150A3.docx</v>
      </c>
      <c r="U953" t="s">
        <v>64</v>
      </c>
      <c r="V953" t="s">
        <v>46</v>
      </c>
      <c r="W953" t="s">
        <v>46</v>
      </c>
      <c r="X953" t="s">
        <v>46</v>
      </c>
      <c r="Y953" t="s">
        <v>46</v>
      </c>
      <c r="Z953" t="s">
        <v>46</v>
      </c>
      <c r="AA953" t="s">
        <v>46</v>
      </c>
      <c r="AB953" s="2" t="s">
        <v>43</v>
      </c>
      <c r="AC953" t="s">
        <v>43</v>
      </c>
      <c r="AD953" t="s">
        <v>43</v>
      </c>
      <c r="AE953" t="s">
        <v>43</v>
      </c>
      <c r="AF953" t="s">
        <v>43</v>
      </c>
      <c r="AG953" t="s">
        <v>43</v>
      </c>
      <c r="AH953" s="2" t="s">
        <v>43</v>
      </c>
    </row>
    <row r="954" spans="1:34" ht="90">
      <c r="A954" s="6" t="s">
        <v>124</v>
      </c>
      <c r="B954" s="7">
        <v>46050</v>
      </c>
      <c r="C954" s="9" t="str">
        <f>HYPERLINK("https://eping.wto.org/en/Search?viewData= G/TBT/N/BDI/275/Add.3, G/TBT/N/KEN/1309/Add.3, G/TBT/N/RWA/709/Add.3, G/TBT/N/TZA/828/Add.3, G/TBT/N/UGA/1683/Add.3"," G/TBT/N/BDI/275/Add.3, G/TBT/N/KEN/1309/Add.3, G/TBT/N/RWA/709/Add.3, G/TBT/N/TZA/828/Add.3, G/TBT/N/UGA/1683/Add.3")</f>
        <v xml:space="preserve"> G/TBT/N/BDI/275/Add.3, G/TBT/N/KEN/1309/Add.3, G/TBT/N/RWA/709/Add.3, G/TBT/N/TZA/828/Add.3, G/TBT/N/UGA/1683/Add.3</v>
      </c>
      <c r="D954" s="8" t="s">
        <v>3730</v>
      </c>
      <c r="E954" s="8" t="s">
        <v>3731</v>
      </c>
      <c r="F954" s="8" t="s">
        <v>3732</v>
      </c>
      <c r="G954" s="8" t="s">
        <v>3733</v>
      </c>
      <c r="H954" s="8" t="s">
        <v>3269</v>
      </c>
      <c r="I954" s="8" t="s">
        <v>2827</v>
      </c>
      <c r="J954" s="8" t="s">
        <v>43</v>
      </c>
      <c r="K954" s="8" t="s">
        <v>43</v>
      </c>
      <c r="L954" s="6"/>
      <c r="M954" s="7" t="s">
        <v>43</v>
      </c>
      <c r="N954" s="7"/>
      <c r="O954" s="7"/>
      <c r="P954" s="6" t="s">
        <v>44</v>
      </c>
      <c r="Q954" s="6"/>
      <c r="R954" t="str">
        <f>HYPERLINK("https://docs.wto.org/imrd/directdoc.asp?DDFDocuments/t/G/TBTN22/BDI275A3.docx", "https://docs.wto.org/imrd/directdoc.asp?DDFDocuments/t/G/TBTN22/BDI275A3.docx")</f>
        <v>https://docs.wto.org/imrd/directdoc.asp?DDFDocuments/t/G/TBTN22/BDI275A3.docx</v>
      </c>
      <c r="S954" t="str">
        <f>HYPERLINK("https://docs.wto.org/imrd/directdoc.asp?DDFDocuments/u/G/TBTN22/BDI275A3.docx", "https://docs.wto.org/imrd/directdoc.asp?DDFDocuments/u/G/TBTN22/BDI275A3.docx")</f>
        <v>https://docs.wto.org/imrd/directdoc.asp?DDFDocuments/u/G/TBTN22/BDI275A3.docx</v>
      </c>
      <c r="T954" t="str">
        <f>HYPERLINK("https://docs.wto.org/imrd/directdoc.asp?DDFDocuments/v/G/TBTN22/BDI275A3.docx", "https://docs.wto.org/imrd/directdoc.asp?DDFDocuments/v/G/TBTN22/BDI275A3.docx")</f>
        <v>https://docs.wto.org/imrd/directdoc.asp?DDFDocuments/v/G/TBTN22/BDI275A3.docx</v>
      </c>
      <c r="U954" t="s">
        <v>64</v>
      </c>
      <c r="V954" t="s">
        <v>46</v>
      </c>
      <c r="W954" t="s">
        <v>64</v>
      </c>
      <c r="X954" t="s">
        <v>46</v>
      </c>
      <c r="Y954" t="s">
        <v>46</v>
      </c>
      <c r="Z954" t="s">
        <v>46</v>
      </c>
      <c r="AA954" t="s">
        <v>46</v>
      </c>
      <c r="AB954" s="2" t="s">
        <v>43</v>
      </c>
      <c r="AC954" t="s">
        <v>43</v>
      </c>
      <c r="AD954" t="s">
        <v>43</v>
      </c>
      <c r="AE954" t="s">
        <v>43</v>
      </c>
      <c r="AF954" t="s">
        <v>43</v>
      </c>
      <c r="AG954" t="s">
        <v>43</v>
      </c>
      <c r="AH954" s="2" t="s">
        <v>43</v>
      </c>
    </row>
    <row r="955" spans="1:34" ht="255">
      <c r="A955" s="6" t="s">
        <v>132</v>
      </c>
      <c r="B955" s="7">
        <v>46050</v>
      </c>
      <c r="C955" s="9" t="str">
        <f>HYPERLINK("https://eping.wto.org/en/Search?viewData= G/TBT/N/USA/2241/Add.2"," G/TBT/N/USA/2241/Add.2")</f>
        <v xml:space="preserve"> G/TBT/N/USA/2241/Add.2</v>
      </c>
      <c r="D955" s="8" t="s">
        <v>3831</v>
      </c>
      <c r="E955" s="8" t="s">
        <v>3832</v>
      </c>
      <c r="F955" s="8" t="s">
        <v>3833</v>
      </c>
      <c r="G955" s="8" t="s">
        <v>43</v>
      </c>
      <c r="H955" s="8" t="s">
        <v>3834</v>
      </c>
      <c r="I955" s="8" t="s">
        <v>1153</v>
      </c>
      <c r="J955" s="8" t="s">
        <v>43</v>
      </c>
      <c r="K955" s="8" t="s">
        <v>43</v>
      </c>
      <c r="L955" s="6"/>
      <c r="M955" s="7" t="s">
        <v>43</v>
      </c>
      <c r="N955" s="7"/>
      <c r="O955" s="7"/>
      <c r="P955" s="6" t="s">
        <v>44</v>
      </c>
      <c r="Q955" s="8" t="s">
        <v>3835</v>
      </c>
      <c r="R955" t="str">
        <f>HYPERLINK("https://docs.wto.org/imrd/directdoc.asp?DDFDocuments/t/G/TBTN25/USA2241A2.docx", "https://docs.wto.org/imrd/directdoc.asp?DDFDocuments/t/G/TBTN25/USA2241A2.docx")</f>
        <v>https://docs.wto.org/imrd/directdoc.asp?DDFDocuments/t/G/TBTN25/USA2241A2.docx</v>
      </c>
      <c r="S955" t="str">
        <f>HYPERLINK("https://docs.wto.org/imrd/directdoc.asp?DDFDocuments/u/G/TBTN25/USA2241A2.docx", "https://docs.wto.org/imrd/directdoc.asp?DDFDocuments/u/G/TBTN25/USA2241A2.docx")</f>
        <v>https://docs.wto.org/imrd/directdoc.asp?DDFDocuments/u/G/TBTN25/USA2241A2.docx</v>
      </c>
      <c r="T955" t="str">
        <f>HYPERLINK("https://docs.wto.org/imrd/directdoc.asp?DDFDocuments/v/G/TBTN25/USA2241A2.docx", "https://docs.wto.org/imrd/directdoc.asp?DDFDocuments/v/G/TBTN25/USA2241A2.docx")</f>
        <v>https://docs.wto.org/imrd/directdoc.asp?DDFDocuments/v/G/TBTN25/USA2241A2.docx</v>
      </c>
      <c r="U955" t="s">
        <v>46</v>
      </c>
      <c r="V955" t="s">
        <v>46</v>
      </c>
      <c r="W955" t="s">
        <v>46</v>
      </c>
      <c r="X955" t="s">
        <v>46</v>
      </c>
      <c r="Y955" t="s">
        <v>46</v>
      </c>
      <c r="Z955" t="s">
        <v>46</v>
      </c>
      <c r="AA955" t="s">
        <v>46</v>
      </c>
      <c r="AB955" s="2" t="s">
        <v>43</v>
      </c>
      <c r="AC955" t="s">
        <v>43</v>
      </c>
      <c r="AD955" t="s">
        <v>43</v>
      </c>
      <c r="AE955" t="s">
        <v>43</v>
      </c>
      <c r="AF955" t="s">
        <v>43</v>
      </c>
      <c r="AG955" t="s">
        <v>43</v>
      </c>
      <c r="AH955" s="2" t="s">
        <v>43</v>
      </c>
    </row>
    <row r="956" spans="1:34" ht="240">
      <c r="A956" s="6" t="s">
        <v>132</v>
      </c>
      <c r="B956" s="7">
        <v>46050</v>
      </c>
      <c r="C956" s="9" t="str">
        <f>HYPERLINK("https://eping.wto.org/en/Search?viewData= G/TBT/N/USA/1504/Add.5"," G/TBT/N/USA/1504/Add.5")</f>
        <v xml:space="preserve"> G/TBT/N/USA/1504/Add.5</v>
      </c>
      <c r="D956" s="8" t="s">
        <v>3836</v>
      </c>
      <c r="E956" s="8" t="s">
        <v>3837</v>
      </c>
      <c r="F956" s="8" t="s">
        <v>3838</v>
      </c>
      <c r="G956" s="8" t="s">
        <v>43</v>
      </c>
      <c r="H956" s="8" t="s">
        <v>3839</v>
      </c>
      <c r="I956" s="8" t="s">
        <v>275</v>
      </c>
      <c r="J956" s="8" t="s">
        <v>43</v>
      </c>
      <c r="K956" s="8" t="s">
        <v>43</v>
      </c>
      <c r="L956" s="6"/>
      <c r="M956" s="7" t="s">
        <v>43</v>
      </c>
      <c r="N956" s="7"/>
      <c r="O956" s="7"/>
      <c r="P956" s="6" t="s">
        <v>44</v>
      </c>
      <c r="Q956" s="8" t="s">
        <v>3840</v>
      </c>
      <c r="R956" t="str">
        <f>HYPERLINK("https://docs.wto.org/imrd/directdoc.asp?DDFDocuments/t/G/TBTN19/USA1504A5.docx", "https://docs.wto.org/imrd/directdoc.asp?DDFDocuments/t/G/TBTN19/USA1504A5.docx")</f>
        <v>https://docs.wto.org/imrd/directdoc.asp?DDFDocuments/t/G/TBTN19/USA1504A5.docx</v>
      </c>
      <c r="S956" t="str">
        <f>HYPERLINK("https://docs.wto.org/imrd/directdoc.asp?DDFDocuments/u/G/TBTN19/USA1504A5.docx", "https://docs.wto.org/imrd/directdoc.asp?DDFDocuments/u/G/TBTN19/USA1504A5.docx")</f>
        <v>https://docs.wto.org/imrd/directdoc.asp?DDFDocuments/u/G/TBTN19/USA1504A5.docx</v>
      </c>
      <c r="T956" t="str">
        <f>HYPERLINK("https://docs.wto.org/imrd/directdoc.asp?DDFDocuments/v/G/TBTN19/USA1504A5.docx", "https://docs.wto.org/imrd/directdoc.asp?DDFDocuments/v/G/TBTN19/USA1504A5.docx")</f>
        <v>https://docs.wto.org/imrd/directdoc.asp?DDFDocuments/v/G/TBTN19/USA1504A5.docx</v>
      </c>
      <c r="U956" t="s">
        <v>64</v>
      </c>
      <c r="V956" t="s">
        <v>46</v>
      </c>
      <c r="W956" t="s">
        <v>64</v>
      </c>
      <c r="X956" t="s">
        <v>46</v>
      </c>
      <c r="Y956" t="s">
        <v>46</v>
      </c>
      <c r="Z956" t="s">
        <v>46</v>
      </c>
      <c r="AA956" t="s">
        <v>46</v>
      </c>
      <c r="AB956" s="2" t="s">
        <v>43</v>
      </c>
      <c r="AC956" t="s">
        <v>43</v>
      </c>
      <c r="AD956" t="s">
        <v>43</v>
      </c>
      <c r="AE956" t="s">
        <v>43</v>
      </c>
      <c r="AF956" t="s">
        <v>43</v>
      </c>
      <c r="AG956" t="s">
        <v>43</v>
      </c>
      <c r="AH956" s="2" t="s">
        <v>43</v>
      </c>
    </row>
    <row r="957" spans="1:34" ht="330">
      <c r="A957" s="6" t="s">
        <v>132</v>
      </c>
      <c r="B957" s="7">
        <v>46050</v>
      </c>
      <c r="C957" s="9" t="str">
        <f>HYPERLINK("https://eping.wto.org/en/Search?viewData= G/TBT/N/USA/2254/Add.1"," G/TBT/N/USA/2254/Add.1")</f>
        <v xml:space="preserve"> G/TBT/N/USA/2254/Add.1</v>
      </c>
      <c r="D957" s="8" t="s">
        <v>3841</v>
      </c>
      <c r="E957" s="8" t="s">
        <v>3842</v>
      </c>
      <c r="F957" s="8" t="s">
        <v>3843</v>
      </c>
      <c r="G957" s="8" t="s">
        <v>43</v>
      </c>
      <c r="H957" s="8" t="s">
        <v>3844</v>
      </c>
      <c r="I957" s="8" t="s">
        <v>137</v>
      </c>
      <c r="J957" s="8" t="s">
        <v>43</v>
      </c>
      <c r="K957" s="8" t="s">
        <v>43</v>
      </c>
      <c r="L957" s="6"/>
      <c r="M957" s="7" t="s">
        <v>43</v>
      </c>
      <c r="N957" s="7"/>
      <c r="O957" s="7"/>
      <c r="P957" s="6" t="s">
        <v>44</v>
      </c>
      <c r="Q957" s="8" t="s">
        <v>3845</v>
      </c>
      <c r="R957" t="str">
        <f>HYPERLINK("https://docs.wto.org/imrd/directdoc.asp?DDFDocuments/t/G/TBTN25/USA2254A1.docx", "https://docs.wto.org/imrd/directdoc.asp?DDFDocuments/t/G/TBTN25/USA2254A1.docx")</f>
        <v>https://docs.wto.org/imrd/directdoc.asp?DDFDocuments/t/G/TBTN25/USA2254A1.docx</v>
      </c>
      <c r="S957" t="str">
        <f>HYPERLINK("https://docs.wto.org/imrd/directdoc.asp?DDFDocuments/u/G/TBTN25/USA2254A1.docx", "https://docs.wto.org/imrd/directdoc.asp?DDFDocuments/u/G/TBTN25/USA2254A1.docx")</f>
        <v>https://docs.wto.org/imrd/directdoc.asp?DDFDocuments/u/G/TBTN25/USA2254A1.docx</v>
      </c>
      <c r="T957" t="str">
        <f>HYPERLINK("https://docs.wto.org/imrd/directdoc.asp?DDFDocuments/v/G/TBTN25/USA2254A1.docx", "https://docs.wto.org/imrd/directdoc.asp?DDFDocuments/v/G/TBTN25/USA2254A1.docx")</f>
        <v>https://docs.wto.org/imrd/directdoc.asp?DDFDocuments/v/G/TBTN25/USA2254A1.docx</v>
      </c>
      <c r="U957" t="s">
        <v>46</v>
      </c>
      <c r="V957" t="s">
        <v>46</v>
      </c>
      <c r="W957" t="s">
        <v>46</v>
      </c>
      <c r="X957" t="s">
        <v>46</v>
      </c>
      <c r="Y957" t="s">
        <v>46</v>
      </c>
      <c r="Z957" t="s">
        <v>46</v>
      </c>
      <c r="AA957" t="s">
        <v>46</v>
      </c>
      <c r="AB957" s="2" t="s">
        <v>43</v>
      </c>
      <c r="AC957" t="s">
        <v>43</v>
      </c>
      <c r="AD957" t="s">
        <v>43</v>
      </c>
      <c r="AE957" t="s">
        <v>43</v>
      </c>
      <c r="AF957" t="s">
        <v>43</v>
      </c>
      <c r="AG957" t="s">
        <v>43</v>
      </c>
      <c r="AH957" s="2" t="s">
        <v>43</v>
      </c>
    </row>
    <row r="958" spans="1:34" ht="60">
      <c r="A958" s="6" t="s">
        <v>47</v>
      </c>
      <c r="B958" s="7">
        <v>46050</v>
      </c>
      <c r="C958" s="9" t="str">
        <f>HYPERLINK("https://eping.wto.org/en/Search?viewData= G/SPS/N/CAN/1631"," G/SPS/N/CAN/1631")</f>
        <v xml:space="preserve"> G/SPS/N/CAN/1631</v>
      </c>
      <c r="D958" s="8" t="s">
        <v>3846</v>
      </c>
      <c r="E958" s="8" t="s">
        <v>3847</v>
      </c>
      <c r="F958" s="8" t="s">
        <v>3848</v>
      </c>
      <c r="G958" s="8" t="s">
        <v>43</v>
      </c>
      <c r="H958" s="8" t="s">
        <v>1134</v>
      </c>
      <c r="I958" s="8" t="s">
        <v>58</v>
      </c>
      <c r="J958" s="8" t="s">
        <v>43</v>
      </c>
      <c r="K958" s="8" t="s">
        <v>3708</v>
      </c>
      <c r="L958" s="6" t="s">
        <v>43</v>
      </c>
      <c r="M958" s="7">
        <v>46123</v>
      </c>
      <c r="N958" s="7" t="s">
        <v>1062</v>
      </c>
      <c r="O958" s="7" t="s">
        <v>1063</v>
      </c>
      <c r="P958" s="6" t="s">
        <v>62</v>
      </c>
      <c r="Q958" s="6"/>
      <c r="R958" t="str">
        <f>HYPERLINK("https://docs.wto.org/imrd/directdoc.asp?DDFDocuments/t/G/SPS/NCAN1631.docx", "https://docs.wto.org/imrd/directdoc.asp?DDFDocuments/t/G/SPS/NCAN1631.docx")</f>
        <v>https://docs.wto.org/imrd/directdoc.asp?DDFDocuments/t/G/SPS/NCAN1631.docx</v>
      </c>
      <c r="S958" t="str">
        <f>HYPERLINK("https://docs.wto.org/imrd/directdoc.asp?DDFDocuments/u/G/SPS/NCAN1631.docx", "https://docs.wto.org/imrd/directdoc.asp?DDFDocuments/u/G/SPS/NCAN1631.docx")</f>
        <v>https://docs.wto.org/imrd/directdoc.asp?DDFDocuments/u/G/SPS/NCAN1631.docx</v>
      </c>
      <c r="T958" t="str">
        <f>HYPERLINK("https://docs.wto.org/imrd/directdoc.asp?DDFDocuments/v/G/SPS/NCAN1631.docx", "https://docs.wto.org/imrd/directdoc.asp?DDFDocuments/v/G/SPS/NCAN1631.docx")</f>
        <v>https://docs.wto.org/imrd/directdoc.asp?DDFDocuments/v/G/SPS/NCAN1631.docx</v>
      </c>
      <c r="U958" t="s">
        <v>43</v>
      </c>
      <c r="V958" t="s">
        <v>43</v>
      </c>
      <c r="W958" t="s">
        <v>43</v>
      </c>
      <c r="X958" t="s">
        <v>43</v>
      </c>
      <c r="Y958" t="s">
        <v>43</v>
      </c>
      <c r="Z958" t="s">
        <v>43</v>
      </c>
      <c r="AA958" t="s">
        <v>43</v>
      </c>
      <c r="AB958" s="2" t="s">
        <v>43</v>
      </c>
      <c r="AC958" t="s">
        <v>46</v>
      </c>
      <c r="AD958" t="s">
        <v>46</v>
      </c>
      <c r="AE958" t="s">
        <v>46</v>
      </c>
      <c r="AF958" t="s">
        <v>64</v>
      </c>
      <c r="AG958" t="s">
        <v>99</v>
      </c>
      <c r="AH958" s="2" t="s">
        <v>3849</v>
      </c>
    </row>
    <row r="959" spans="1:34" ht="135">
      <c r="A959" s="6" t="s">
        <v>577</v>
      </c>
      <c r="B959" s="7">
        <v>46050</v>
      </c>
      <c r="C959" s="9" t="str">
        <f>HYPERLINK("https://eping.wto.org/en/Search?viewData= G/TBT/N/BDI/152/Add.3, G/TBT/N/RWA/531/Add.3, G/TBT/N/TZA/641/Add.3, G/TBT/N/UGA/1441/Add.3"," G/TBT/N/BDI/152/Add.3, G/TBT/N/RWA/531/Add.3, G/TBT/N/TZA/641/Add.3, G/TBT/N/UGA/1441/Add.3")</f>
        <v xml:space="preserve"> G/TBT/N/BDI/152/Add.3, G/TBT/N/RWA/531/Add.3, G/TBT/N/TZA/641/Add.3, G/TBT/N/UGA/1441/Add.3</v>
      </c>
      <c r="D959" s="8" t="s">
        <v>3734</v>
      </c>
      <c r="E959" s="8" t="s">
        <v>3735</v>
      </c>
      <c r="F959" s="8" t="s">
        <v>3736</v>
      </c>
      <c r="G959" s="8" t="s">
        <v>3737</v>
      </c>
      <c r="H959" s="8" t="s">
        <v>3714</v>
      </c>
      <c r="I959" s="8" t="s">
        <v>3850</v>
      </c>
      <c r="J959" s="8" t="s">
        <v>43</v>
      </c>
      <c r="K959" s="8" t="s">
        <v>350</v>
      </c>
      <c r="L959" s="6"/>
      <c r="M959" s="7" t="s">
        <v>43</v>
      </c>
      <c r="N959" s="7"/>
      <c r="O959" s="7"/>
      <c r="P959" s="6" t="s">
        <v>44</v>
      </c>
      <c r="Q959" s="6"/>
      <c r="R959" t="str">
        <f>HYPERLINK("https://docs.wto.org/imrd/directdoc.asp?DDFDocuments/t/G/TBTN21/BDI152A3.docx", "https://docs.wto.org/imrd/directdoc.asp?DDFDocuments/t/G/TBTN21/BDI152A3.docx")</f>
        <v>https://docs.wto.org/imrd/directdoc.asp?DDFDocuments/t/G/TBTN21/BDI152A3.docx</v>
      </c>
      <c r="S959" t="str">
        <f>HYPERLINK("https://docs.wto.org/imrd/directdoc.asp?DDFDocuments/u/G/TBTN21/BDI152A3.docx", "https://docs.wto.org/imrd/directdoc.asp?DDFDocuments/u/G/TBTN21/BDI152A3.docx")</f>
        <v>https://docs.wto.org/imrd/directdoc.asp?DDFDocuments/u/G/TBTN21/BDI152A3.docx</v>
      </c>
      <c r="T959" t="str">
        <f>HYPERLINK("https://docs.wto.org/imrd/directdoc.asp?DDFDocuments/v/G/TBTN21/BDI152A3.docx", "https://docs.wto.org/imrd/directdoc.asp?DDFDocuments/v/G/TBTN21/BDI152A3.docx")</f>
        <v>https://docs.wto.org/imrd/directdoc.asp?DDFDocuments/v/G/TBTN21/BDI152A3.docx</v>
      </c>
      <c r="U959" t="s">
        <v>64</v>
      </c>
      <c r="V959" t="s">
        <v>46</v>
      </c>
      <c r="W959" t="s">
        <v>64</v>
      </c>
      <c r="X959" t="s">
        <v>46</v>
      </c>
      <c r="Y959" t="s">
        <v>46</v>
      </c>
      <c r="Z959" t="s">
        <v>46</v>
      </c>
      <c r="AA959" t="s">
        <v>46</v>
      </c>
      <c r="AB959" s="2" t="s">
        <v>43</v>
      </c>
      <c r="AC959" t="s">
        <v>43</v>
      </c>
      <c r="AD959" t="s">
        <v>43</v>
      </c>
      <c r="AE959" t="s">
        <v>43</v>
      </c>
      <c r="AF959" t="s">
        <v>43</v>
      </c>
      <c r="AG959" t="s">
        <v>43</v>
      </c>
      <c r="AH959" s="2" t="s">
        <v>43</v>
      </c>
    </row>
    <row r="960" spans="1:34" ht="60">
      <c r="A960" s="6" t="s">
        <v>185</v>
      </c>
      <c r="B960" s="7">
        <v>46050</v>
      </c>
      <c r="C960" s="9" t="str">
        <f>HYPERLINK("https://eping.wto.org/en/Search?viewData= G/TBT/N/CHN/2190"," G/TBT/N/CHN/2190")</f>
        <v xml:space="preserve"> G/TBT/N/CHN/2190</v>
      </c>
      <c r="D960" s="8" t="s">
        <v>3851</v>
      </c>
      <c r="E960" s="8" t="s">
        <v>3852</v>
      </c>
      <c r="F960" s="8" t="s">
        <v>3853</v>
      </c>
      <c r="G960" s="8" t="s">
        <v>3854</v>
      </c>
      <c r="H960" s="8" t="s">
        <v>412</v>
      </c>
      <c r="I960" s="8" t="s">
        <v>413</v>
      </c>
      <c r="J960" s="8" t="s">
        <v>43</v>
      </c>
      <c r="K960" s="8" t="s">
        <v>350</v>
      </c>
      <c r="L960" s="6"/>
      <c r="M960" s="7">
        <v>46110</v>
      </c>
      <c r="N960" s="7" t="s">
        <v>79</v>
      </c>
      <c r="O960" s="7" t="s">
        <v>414</v>
      </c>
      <c r="P960" s="6" t="s">
        <v>62</v>
      </c>
      <c r="Q960" s="8" t="s">
        <v>3855</v>
      </c>
      <c r="R960" t="str">
        <f>HYPERLINK("https://docs.wto.org/imrd/directdoc.asp?DDFDocuments/t/G/TBTN26/CHN2190.docx", "https://docs.wto.org/imrd/directdoc.asp?DDFDocuments/t/G/TBTN26/CHN2190.docx")</f>
        <v>https://docs.wto.org/imrd/directdoc.asp?DDFDocuments/t/G/TBTN26/CHN2190.docx</v>
      </c>
      <c r="S960" t="str">
        <f>HYPERLINK("https://docs.wto.org/imrd/directdoc.asp?DDFDocuments/u/G/TBTN26/CHN2190.docx", "https://docs.wto.org/imrd/directdoc.asp?DDFDocuments/u/G/TBTN26/CHN2190.docx")</f>
        <v>https://docs.wto.org/imrd/directdoc.asp?DDFDocuments/u/G/TBTN26/CHN2190.docx</v>
      </c>
      <c r="T960" t="str">
        <f>HYPERLINK("https://docs.wto.org/imrd/directdoc.asp?DDFDocuments/v/G/TBTN26/CHN2190.docx", "https://docs.wto.org/imrd/directdoc.asp?DDFDocuments/v/G/TBTN26/CHN2190.docx")</f>
        <v>https://docs.wto.org/imrd/directdoc.asp?DDFDocuments/v/G/TBTN26/CHN2190.docx</v>
      </c>
      <c r="U960" t="s">
        <v>64</v>
      </c>
      <c r="V960" t="s">
        <v>46</v>
      </c>
      <c r="W960" t="s">
        <v>46</v>
      </c>
      <c r="X960" t="s">
        <v>46</v>
      </c>
      <c r="Y960" t="s">
        <v>46</v>
      </c>
      <c r="Z960" t="s">
        <v>46</v>
      </c>
      <c r="AA960" t="s">
        <v>46</v>
      </c>
      <c r="AB960" s="2" t="s">
        <v>43</v>
      </c>
      <c r="AC960" t="s">
        <v>43</v>
      </c>
      <c r="AD960" t="s">
        <v>43</v>
      </c>
      <c r="AE960" t="s">
        <v>43</v>
      </c>
      <c r="AF960" t="s">
        <v>43</v>
      </c>
      <c r="AG960" t="s">
        <v>43</v>
      </c>
      <c r="AH960" s="2" t="s">
        <v>43</v>
      </c>
    </row>
    <row r="961" spans="1:34" ht="300">
      <c r="A961" s="6" t="s">
        <v>82</v>
      </c>
      <c r="B961" s="7">
        <v>46050</v>
      </c>
      <c r="C961" s="9" t="str">
        <f>HYPERLINK("https://eping.wto.org/en/Search?viewData= G/SPS/N/JPN/1343/Add.1"," G/SPS/N/JPN/1343/Add.1")</f>
        <v xml:space="preserve"> G/SPS/N/JPN/1343/Add.1</v>
      </c>
      <c r="D961" s="8" t="s">
        <v>3423</v>
      </c>
      <c r="E961" s="8" t="s">
        <v>3856</v>
      </c>
      <c r="F961" s="8" t="s">
        <v>3857</v>
      </c>
      <c r="G961" s="8" t="s">
        <v>3858</v>
      </c>
      <c r="H961" s="8" t="s">
        <v>43</v>
      </c>
      <c r="I961" s="8" t="s">
        <v>58</v>
      </c>
      <c r="J961" s="8" t="s">
        <v>43</v>
      </c>
      <c r="K961" s="8" t="s">
        <v>3427</v>
      </c>
      <c r="L961" s="6"/>
      <c r="M961" s="7" t="s">
        <v>43</v>
      </c>
      <c r="N961" s="7"/>
      <c r="O961" s="7"/>
      <c r="P961" s="6" t="s">
        <v>44</v>
      </c>
      <c r="Q961" s="8" t="s">
        <v>3859</v>
      </c>
      <c r="R961" t="str">
        <f>HYPERLINK("https://docs.wto.org/imrd/directdoc.asp?DDFDocuments/t/G/SPS/NJPN1343A1.docx", "https://docs.wto.org/imrd/directdoc.asp?DDFDocuments/t/G/SPS/NJPN1343A1.docx")</f>
        <v>https://docs.wto.org/imrd/directdoc.asp?DDFDocuments/t/G/SPS/NJPN1343A1.docx</v>
      </c>
      <c r="S961" t="str">
        <f>HYPERLINK("https://docs.wto.org/imrd/directdoc.asp?DDFDocuments/u/G/SPS/NJPN1343A1.docx", "https://docs.wto.org/imrd/directdoc.asp?DDFDocuments/u/G/SPS/NJPN1343A1.docx")</f>
        <v>https://docs.wto.org/imrd/directdoc.asp?DDFDocuments/u/G/SPS/NJPN1343A1.docx</v>
      </c>
      <c r="T961" t="str">
        <f>HYPERLINK("https://docs.wto.org/imrd/directdoc.asp?DDFDocuments/v/G/SPS/NJPN1343A1.docx", "https://docs.wto.org/imrd/directdoc.asp?DDFDocuments/v/G/SPS/NJPN1343A1.docx")</f>
        <v>https://docs.wto.org/imrd/directdoc.asp?DDFDocuments/v/G/SPS/NJPN1343A1.docx</v>
      </c>
      <c r="U961" t="s">
        <v>43</v>
      </c>
      <c r="V961" t="s">
        <v>43</v>
      </c>
      <c r="W961" t="s">
        <v>43</v>
      </c>
      <c r="X961" t="s">
        <v>43</v>
      </c>
      <c r="Y961" t="s">
        <v>43</v>
      </c>
      <c r="Z961" t="s">
        <v>43</v>
      </c>
      <c r="AA961" t="s">
        <v>43</v>
      </c>
      <c r="AB961" s="2" t="s">
        <v>43</v>
      </c>
      <c r="AC961" t="s">
        <v>43</v>
      </c>
      <c r="AD961" t="s">
        <v>43</v>
      </c>
      <c r="AE961" t="s">
        <v>43</v>
      </c>
      <c r="AF961" t="s">
        <v>43</v>
      </c>
      <c r="AG961" t="s">
        <v>43</v>
      </c>
      <c r="AH961" s="2" t="s">
        <v>43</v>
      </c>
    </row>
    <row r="962" spans="1:34" ht="75">
      <c r="A962" s="6" t="s">
        <v>509</v>
      </c>
      <c r="B962" s="7">
        <v>46050</v>
      </c>
      <c r="C962" s="9" t="str">
        <f>HYPERLINK("https://eping.wto.org/en/Search?viewData= G/TBT/N/BDI/197/Add.3, G/TBT/N/KEN/1188/Add.3, G/TBT/N/RWA/588/Add.3, G/TBT/N/TZA/685/Add.3, G/TBT/N/UGA/1527/Add.3"," G/TBT/N/BDI/197/Add.3, G/TBT/N/KEN/1188/Add.3, G/TBT/N/RWA/588/Add.3, G/TBT/N/TZA/685/Add.3, G/TBT/N/UGA/1527/Add.3")</f>
        <v xml:space="preserve"> G/TBT/N/BDI/197/Add.3, G/TBT/N/KEN/1188/Add.3, G/TBT/N/RWA/588/Add.3, G/TBT/N/TZA/685/Add.3, G/TBT/N/UGA/1527/Add.3</v>
      </c>
      <c r="D962" s="8" t="s">
        <v>3710</v>
      </c>
      <c r="E962" s="8" t="s">
        <v>3711</v>
      </c>
      <c r="F962" s="8" t="s">
        <v>3712</v>
      </c>
      <c r="G962" s="8" t="s">
        <v>3713</v>
      </c>
      <c r="H962" s="8" t="s">
        <v>3714</v>
      </c>
      <c r="I962" s="8" t="s">
        <v>2822</v>
      </c>
      <c r="J962" s="8" t="s">
        <v>43</v>
      </c>
      <c r="K962" s="8" t="s">
        <v>43</v>
      </c>
      <c r="L962" s="6"/>
      <c r="M962" s="7" t="s">
        <v>43</v>
      </c>
      <c r="N962" s="7"/>
      <c r="O962" s="7"/>
      <c r="P962" s="6" t="s">
        <v>44</v>
      </c>
      <c r="Q962" s="6"/>
      <c r="R962" t="str">
        <f>HYPERLINK("https://docs.wto.org/imrd/directdoc.asp?DDFDocuments/t/G/TBTN21/BDI197A3.docx", "https://docs.wto.org/imrd/directdoc.asp?DDFDocuments/t/G/TBTN21/BDI197A3.docx")</f>
        <v>https://docs.wto.org/imrd/directdoc.asp?DDFDocuments/t/G/TBTN21/BDI197A3.docx</v>
      </c>
      <c r="S962" t="str">
        <f>HYPERLINK("https://docs.wto.org/imrd/directdoc.asp?DDFDocuments/u/G/TBTN21/BDI197A3.docx", "https://docs.wto.org/imrd/directdoc.asp?DDFDocuments/u/G/TBTN21/BDI197A3.docx")</f>
        <v>https://docs.wto.org/imrd/directdoc.asp?DDFDocuments/u/G/TBTN21/BDI197A3.docx</v>
      </c>
      <c r="T962" t="str">
        <f>HYPERLINK("https://docs.wto.org/imrd/directdoc.asp?DDFDocuments/v/G/TBTN21/BDI197A3.docx", "https://docs.wto.org/imrd/directdoc.asp?DDFDocuments/v/G/TBTN21/BDI197A3.docx")</f>
        <v>https://docs.wto.org/imrd/directdoc.asp?DDFDocuments/v/G/TBTN21/BDI197A3.docx</v>
      </c>
      <c r="U962" t="s">
        <v>64</v>
      </c>
      <c r="V962" t="s">
        <v>46</v>
      </c>
      <c r="W962" t="s">
        <v>64</v>
      </c>
      <c r="X962" t="s">
        <v>46</v>
      </c>
      <c r="Y962" t="s">
        <v>46</v>
      </c>
      <c r="Z962" t="s">
        <v>46</v>
      </c>
      <c r="AA962" t="s">
        <v>46</v>
      </c>
      <c r="AB962" s="2" t="s">
        <v>43</v>
      </c>
      <c r="AC962" t="s">
        <v>43</v>
      </c>
      <c r="AD962" t="s">
        <v>43</v>
      </c>
      <c r="AE962" t="s">
        <v>43</v>
      </c>
      <c r="AF962" t="s">
        <v>43</v>
      </c>
      <c r="AG962" t="s">
        <v>43</v>
      </c>
      <c r="AH962" s="2" t="s">
        <v>43</v>
      </c>
    </row>
    <row r="963" spans="1:34" ht="60">
      <c r="A963" s="6" t="s">
        <v>185</v>
      </c>
      <c r="B963" s="7">
        <v>46050</v>
      </c>
      <c r="C963" s="9" t="str">
        <f>HYPERLINK("https://eping.wto.org/en/Search?viewData= G/TBT/N/CHN/2188"," G/TBT/N/CHN/2188")</f>
        <v xml:space="preserve"> G/TBT/N/CHN/2188</v>
      </c>
      <c r="D963" s="8" t="s">
        <v>3860</v>
      </c>
      <c r="E963" s="8" t="s">
        <v>3861</v>
      </c>
      <c r="F963" s="8" t="s">
        <v>3862</v>
      </c>
      <c r="G963" s="8" t="s">
        <v>3863</v>
      </c>
      <c r="H963" s="8" t="s">
        <v>412</v>
      </c>
      <c r="I963" s="8" t="s">
        <v>413</v>
      </c>
      <c r="J963" s="8" t="s">
        <v>43</v>
      </c>
      <c r="K963" s="8" t="s">
        <v>43</v>
      </c>
      <c r="L963" s="6"/>
      <c r="M963" s="7">
        <v>46110</v>
      </c>
      <c r="N963" s="7" t="s">
        <v>79</v>
      </c>
      <c r="O963" s="7" t="s">
        <v>414</v>
      </c>
      <c r="P963" s="6" t="s">
        <v>62</v>
      </c>
      <c r="Q963" s="8" t="s">
        <v>3864</v>
      </c>
      <c r="R963" t="str">
        <f>HYPERLINK("https://docs.wto.org/imrd/directdoc.asp?DDFDocuments/t/G/TBTN26/CHN2188.docx", "https://docs.wto.org/imrd/directdoc.asp?DDFDocuments/t/G/TBTN26/CHN2188.docx")</f>
        <v>https://docs.wto.org/imrd/directdoc.asp?DDFDocuments/t/G/TBTN26/CHN2188.docx</v>
      </c>
      <c r="S963" t="str">
        <f>HYPERLINK("https://docs.wto.org/imrd/directdoc.asp?DDFDocuments/u/G/TBTN26/CHN2188.docx", "https://docs.wto.org/imrd/directdoc.asp?DDFDocuments/u/G/TBTN26/CHN2188.docx")</f>
        <v>https://docs.wto.org/imrd/directdoc.asp?DDFDocuments/u/G/TBTN26/CHN2188.docx</v>
      </c>
      <c r="T963" t="str">
        <f>HYPERLINK("https://docs.wto.org/imrd/directdoc.asp?DDFDocuments/v/G/TBTN26/CHN2188.docx", "https://docs.wto.org/imrd/directdoc.asp?DDFDocuments/v/G/TBTN26/CHN2188.docx")</f>
        <v>https://docs.wto.org/imrd/directdoc.asp?DDFDocuments/v/G/TBTN26/CHN2188.docx</v>
      </c>
      <c r="U963" t="s">
        <v>64</v>
      </c>
      <c r="V963" t="s">
        <v>46</v>
      </c>
      <c r="W963" t="s">
        <v>46</v>
      </c>
      <c r="X963" t="s">
        <v>46</v>
      </c>
      <c r="Y963" t="s">
        <v>46</v>
      </c>
      <c r="Z963" t="s">
        <v>46</v>
      </c>
      <c r="AA963" t="s">
        <v>46</v>
      </c>
      <c r="AB963" s="2" t="s">
        <v>43</v>
      </c>
      <c r="AC963" t="s">
        <v>43</v>
      </c>
      <c r="AD963" t="s">
        <v>43</v>
      </c>
      <c r="AE963" t="s">
        <v>43</v>
      </c>
      <c r="AF963" t="s">
        <v>43</v>
      </c>
      <c r="AG963" t="s">
        <v>43</v>
      </c>
      <c r="AH963" s="2" t="s">
        <v>43</v>
      </c>
    </row>
    <row r="964" spans="1:34" ht="75">
      <c r="A964" s="6" t="s">
        <v>185</v>
      </c>
      <c r="B964" s="7">
        <v>46050</v>
      </c>
      <c r="C964" s="9" t="str">
        <f>HYPERLINK("https://eping.wto.org/en/Search?viewData= G/TBT/N/CHN/2189"," G/TBT/N/CHN/2189")</f>
        <v xml:space="preserve"> G/TBT/N/CHN/2189</v>
      </c>
      <c r="D964" s="8" t="s">
        <v>3865</v>
      </c>
      <c r="E964" s="8" t="s">
        <v>3866</v>
      </c>
      <c r="F964" s="8" t="s">
        <v>3867</v>
      </c>
      <c r="G964" s="8" t="s">
        <v>3868</v>
      </c>
      <c r="H964" s="8" t="s">
        <v>412</v>
      </c>
      <c r="I964" s="8" t="s">
        <v>413</v>
      </c>
      <c r="J964" s="8" t="s">
        <v>43</v>
      </c>
      <c r="K964" s="8" t="s">
        <v>43</v>
      </c>
      <c r="L964" s="6"/>
      <c r="M964" s="7">
        <v>46110</v>
      </c>
      <c r="N964" s="7" t="s">
        <v>79</v>
      </c>
      <c r="O964" s="7" t="s">
        <v>414</v>
      </c>
      <c r="P964" s="6" t="s">
        <v>62</v>
      </c>
      <c r="Q964" s="8" t="s">
        <v>3869</v>
      </c>
      <c r="R964" t="str">
        <f>HYPERLINK("https://docs.wto.org/imrd/directdoc.asp?DDFDocuments/t/G/TBTN26/CHN2189.docx", "https://docs.wto.org/imrd/directdoc.asp?DDFDocuments/t/G/TBTN26/CHN2189.docx")</f>
        <v>https://docs.wto.org/imrd/directdoc.asp?DDFDocuments/t/G/TBTN26/CHN2189.docx</v>
      </c>
      <c r="S964" t="str">
        <f>HYPERLINK("https://docs.wto.org/imrd/directdoc.asp?DDFDocuments/u/G/TBTN26/CHN2189.docx", "https://docs.wto.org/imrd/directdoc.asp?DDFDocuments/u/G/TBTN26/CHN2189.docx")</f>
        <v>https://docs.wto.org/imrd/directdoc.asp?DDFDocuments/u/G/TBTN26/CHN2189.docx</v>
      </c>
      <c r="T964" t="str">
        <f>HYPERLINK("https://docs.wto.org/imrd/directdoc.asp?DDFDocuments/v/G/TBTN26/CHN2189.docx", "https://docs.wto.org/imrd/directdoc.asp?DDFDocuments/v/G/TBTN26/CHN2189.docx")</f>
        <v>https://docs.wto.org/imrd/directdoc.asp?DDFDocuments/v/G/TBTN26/CHN2189.docx</v>
      </c>
      <c r="U964" t="s">
        <v>64</v>
      </c>
      <c r="V964" t="s">
        <v>46</v>
      </c>
      <c r="W964" t="s">
        <v>46</v>
      </c>
      <c r="X964" t="s">
        <v>46</v>
      </c>
      <c r="Y964" t="s">
        <v>46</v>
      </c>
      <c r="Z964" t="s">
        <v>46</v>
      </c>
      <c r="AA964" t="s">
        <v>46</v>
      </c>
      <c r="AB964" s="2" t="s">
        <v>43</v>
      </c>
      <c r="AC964" t="s">
        <v>43</v>
      </c>
      <c r="AD964" t="s">
        <v>43</v>
      </c>
      <c r="AE964" t="s">
        <v>43</v>
      </c>
      <c r="AF964" t="s">
        <v>43</v>
      </c>
      <c r="AG964" t="s">
        <v>43</v>
      </c>
      <c r="AH964" s="2" t="s">
        <v>43</v>
      </c>
    </row>
    <row r="965" spans="1:34" ht="409.5">
      <c r="A965" s="6" t="s">
        <v>82</v>
      </c>
      <c r="B965" s="7">
        <v>46050</v>
      </c>
      <c r="C965" s="9" t="str">
        <f>HYPERLINK("https://eping.wto.org/en/Search?viewData= G/SPS/N/JPN/1336/Add.1"," G/SPS/N/JPN/1336/Add.1")</f>
        <v xml:space="preserve"> G/SPS/N/JPN/1336/Add.1</v>
      </c>
      <c r="D965" s="8" t="s">
        <v>3423</v>
      </c>
      <c r="E965" s="8" t="s">
        <v>3870</v>
      </c>
      <c r="F965" s="8" t="s">
        <v>3871</v>
      </c>
      <c r="G965" s="8" t="s">
        <v>3872</v>
      </c>
      <c r="H965" s="8" t="s">
        <v>43</v>
      </c>
      <c r="I965" s="8" t="s">
        <v>58</v>
      </c>
      <c r="J965" s="8" t="s">
        <v>43</v>
      </c>
      <c r="K965" s="8" t="s">
        <v>3427</v>
      </c>
      <c r="L965" s="6"/>
      <c r="M965" s="7" t="s">
        <v>43</v>
      </c>
      <c r="N965" s="7"/>
      <c r="O965" s="7"/>
      <c r="P965" s="6" t="s">
        <v>44</v>
      </c>
      <c r="Q965" s="8" t="s">
        <v>3873</v>
      </c>
      <c r="R965" t="str">
        <f>HYPERLINK("https://docs.wto.org/imrd/directdoc.asp?DDFDocuments/t/G/SPS/NJPN1336A1.docx", "https://docs.wto.org/imrd/directdoc.asp?DDFDocuments/t/G/SPS/NJPN1336A1.docx")</f>
        <v>https://docs.wto.org/imrd/directdoc.asp?DDFDocuments/t/G/SPS/NJPN1336A1.docx</v>
      </c>
      <c r="S965" t="str">
        <f>HYPERLINK("https://docs.wto.org/imrd/directdoc.asp?DDFDocuments/u/G/SPS/NJPN1336A1.docx", "https://docs.wto.org/imrd/directdoc.asp?DDFDocuments/u/G/SPS/NJPN1336A1.docx")</f>
        <v>https://docs.wto.org/imrd/directdoc.asp?DDFDocuments/u/G/SPS/NJPN1336A1.docx</v>
      </c>
      <c r="T965" t="str">
        <f>HYPERLINK("https://docs.wto.org/imrd/directdoc.asp?DDFDocuments/v/G/SPS/NJPN1336A1.docx", "https://docs.wto.org/imrd/directdoc.asp?DDFDocuments/v/G/SPS/NJPN1336A1.docx")</f>
        <v>https://docs.wto.org/imrd/directdoc.asp?DDFDocuments/v/G/SPS/NJPN1336A1.docx</v>
      </c>
      <c r="U965" t="s">
        <v>43</v>
      </c>
      <c r="V965" t="s">
        <v>43</v>
      </c>
      <c r="W965" t="s">
        <v>43</v>
      </c>
      <c r="X965" t="s">
        <v>43</v>
      </c>
      <c r="Y965" t="s">
        <v>43</v>
      </c>
      <c r="Z965" t="s">
        <v>43</v>
      </c>
      <c r="AA965" t="s">
        <v>43</v>
      </c>
      <c r="AB965" s="2" t="s">
        <v>43</v>
      </c>
      <c r="AC965" t="s">
        <v>43</v>
      </c>
      <c r="AD965" t="s">
        <v>43</v>
      </c>
      <c r="AE965" t="s">
        <v>43</v>
      </c>
      <c r="AF965" t="s">
        <v>43</v>
      </c>
      <c r="AG965" t="s">
        <v>43</v>
      </c>
      <c r="AH965" s="2" t="s">
        <v>43</v>
      </c>
    </row>
    <row r="966" spans="1:34" ht="150">
      <c r="A966" s="6" t="s">
        <v>146</v>
      </c>
      <c r="B966" s="7">
        <v>46050</v>
      </c>
      <c r="C966" s="9" t="str">
        <f>HYPERLINK("https://eping.wto.org/en/Search?viewData= G/TBT/N/CHL/781"," G/TBT/N/CHL/781")</f>
        <v xml:space="preserve"> G/TBT/N/CHL/781</v>
      </c>
      <c r="D966" s="8" t="s">
        <v>3874</v>
      </c>
      <c r="E966" s="8" t="s">
        <v>3875</v>
      </c>
      <c r="F966" s="8" t="s">
        <v>3876</v>
      </c>
      <c r="G966" s="8" t="s">
        <v>43</v>
      </c>
      <c r="H966" s="8" t="s">
        <v>43</v>
      </c>
      <c r="I966" s="8" t="s">
        <v>275</v>
      </c>
      <c r="J966" s="8" t="s">
        <v>43</v>
      </c>
      <c r="K966" s="8" t="s">
        <v>43</v>
      </c>
      <c r="L966" s="6"/>
      <c r="M966" s="7">
        <v>46110</v>
      </c>
      <c r="N966" s="7" t="s">
        <v>877</v>
      </c>
      <c r="O966" s="7" t="s">
        <v>877</v>
      </c>
      <c r="P966" s="6" t="s">
        <v>62</v>
      </c>
      <c r="Q966" s="8" t="s">
        <v>3877</v>
      </c>
      <c r="R966" t="str">
        <f>HYPERLINK("https://docs.wto.org/imrd/directdoc.asp?DDFDocuments/t/G/TBTN26/CHL781.docx", "https://docs.wto.org/imrd/directdoc.asp?DDFDocuments/t/G/TBTN26/CHL781.docx")</f>
        <v>https://docs.wto.org/imrd/directdoc.asp?DDFDocuments/t/G/TBTN26/CHL781.docx</v>
      </c>
      <c r="S966" t="str">
        <f>HYPERLINK("https://docs.wto.org/imrd/directdoc.asp?DDFDocuments/u/G/TBTN26/CHL781.docx", "https://docs.wto.org/imrd/directdoc.asp?DDFDocuments/u/G/TBTN26/CHL781.docx")</f>
        <v>https://docs.wto.org/imrd/directdoc.asp?DDFDocuments/u/G/TBTN26/CHL781.docx</v>
      </c>
      <c r="T966" t="str">
        <f>HYPERLINK("https://docs.wto.org/imrd/directdoc.asp?DDFDocuments/v/G/TBTN26/CHL781.docx", "https://docs.wto.org/imrd/directdoc.asp?DDFDocuments/v/G/TBTN26/CHL781.docx")</f>
        <v>https://docs.wto.org/imrd/directdoc.asp?DDFDocuments/v/G/TBTN26/CHL781.docx</v>
      </c>
      <c r="U966" t="s">
        <v>64</v>
      </c>
      <c r="V966" t="s">
        <v>46</v>
      </c>
      <c r="W966" t="s">
        <v>46</v>
      </c>
      <c r="X966" t="s">
        <v>46</v>
      </c>
      <c r="Y966" t="s">
        <v>46</v>
      </c>
      <c r="Z966" t="s">
        <v>46</v>
      </c>
      <c r="AA966" t="s">
        <v>46</v>
      </c>
      <c r="AB966" s="2" t="s">
        <v>3878</v>
      </c>
      <c r="AC966" t="s">
        <v>43</v>
      </c>
      <c r="AD966" t="s">
        <v>43</v>
      </c>
      <c r="AE966" t="s">
        <v>43</v>
      </c>
      <c r="AF966" t="s">
        <v>43</v>
      </c>
      <c r="AG966" t="s">
        <v>43</v>
      </c>
      <c r="AH966" s="2" t="s">
        <v>43</v>
      </c>
    </row>
    <row r="967" spans="1:34" ht="75">
      <c r="A967" s="6" t="s">
        <v>356</v>
      </c>
      <c r="B967" s="7">
        <v>46050</v>
      </c>
      <c r="C967" s="9" t="str">
        <f>HYPERLINK("https://eping.wto.org/en/Search?viewData= G/SPS/N/EU/858/Add.1"," G/SPS/N/EU/858/Add.1")</f>
        <v xml:space="preserve"> G/SPS/N/EU/858/Add.1</v>
      </c>
      <c r="D967" s="8" t="s">
        <v>3879</v>
      </c>
      <c r="E967" s="8" t="s">
        <v>3880</v>
      </c>
      <c r="F967" s="8" t="s">
        <v>359</v>
      </c>
      <c r="G967" s="8" t="s">
        <v>360</v>
      </c>
      <c r="H967" s="8" t="s">
        <v>43</v>
      </c>
      <c r="I967" s="8" t="s">
        <v>361</v>
      </c>
      <c r="J967" s="8" t="s">
        <v>43</v>
      </c>
      <c r="K967" s="8" t="s">
        <v>379</v>
      </c>
      <c r="L967" s="6"/>
      <c r="M967" s="7" t="s">
        <v>43</v>
      </c>
      <c r="N967" s="7"/>
      <c r="O967" s="7"/>
      <c r="P967" s="6" t="s">
        <v>44</v>
      </c>
      <c r="Q967" s="8" t="s">
        <v>3881</v>
      </c>
      <c r="R967" t="str">
        <f>HYPERLINK("https://docs.wto.org/imrd/directdoc.asp?DDFDocuments/t/G/SPS/NEU858A1.docx", "https://docs.wto.org/imrd/directdoc.asp?DDFDocuments/t/G/SPS/NEU858A1.docx")</f>
        <v>https://docs.wto.org/imrd/directdoc.asp?DDFDocuments/t/G/SPS/NEU858A1.docx</v>
      </c>
      <c r="S967" t="str">
        <f>HYPERLINK("https://docs.wto.org/imrd/directdoc.asp?DDFDocuments/u/G/SPS/NEU858A1.docx", "https://docs.wto.org/imrd/directdoc.asp?DDFDocuments/u/G/SPS/NEU858A1.docx")</f>
        <v>https://docs.wto.org/imrd/directdoc.asp?DDFDocuments/u/G/SPS/NEU858A1.docx</v>
      </c>
      <c r="T967" t="str">
        <f>HYPERLINK("https://docs.wto.org/imrd/directdoc.asp?DDFDocuments/v/G/SPS/NEU858A1.docx", "https://docs.wto.org/imrd/directdoc.asp?DDFDocuments/v/G/SPS/NEU858A1.docx")</f>
        <v>https://docs.wto.org/imrd/directdoc.asp?DDFDocuments/v/G/SPS/NEU858A1.docx</v>
      </c>
      <c r="U967" t="s">
        <v>43</v>
      </c>
      <c r="V967" t="s">
        <v>43</v>
      </c>
      <c r="W967" t="s">
        <v>43</v>
      </c>
      <c r="X967" t="s">
        <v>43</v>
      </c>
      <c r="Y967" t="s">
        <v>43</v>
      </c>
      <c r="Z967" t="s">
        <v>43</v>
      </c>
      <c r="AA967" t="s">
        <v>43</v>
      </c>
      <c r="AB967" s="2" t="s">
        <v>43</v>
      </c>
      <c r="AC967" t="s">
        <v>43</v>
      </c>
      <c r="AD967" t="s">
        <v>43</v>
      </c>
      <c r="AE967" t="s">
        <v>43</v>
      </c>
      <c r="AF967" t="s">
        <v>43</v>
      </c>
      <c r="AG967" t="s">
        <v>43</v>
      </c>
      <c r="AH967" s="2" t="s">
        <v>43</v>
      </c>
    </row>
    <row r="968" spans="1:34" ht="90">
      <c r="A968" s="6" t="s">
        <v>108</v>
      </c>
      <c r="B968" s="7">
        <v>46050</v>
      </c>
      <c r="C968" s="9" t="str">
        <f>HYPERLINK("https://eping.wto.org/en/Search?viewData= G/TBT/N/BDI/152/Add.3, G/TBT/N/RWA/531/Add.3, G/TBT/N/TZA/641/Add.3, G/TBT/N/UGA/1441/Add.3"," G/TBT/N/BDI/152/Add.3, G/TBT/N/RWA/531/Add.3, G/TBT/N/TZA/641/Add.3, G/TBT/N/UGA/1441/Add.3")</f>
        <v xml:space="preserve"> G/TBT/N/BDI/152/Add.3, G/TBT/N/RWA/531/Add.3, G/TBT/N/TZA/641/Add.3, G/TBT/N/UGA/1441/Add.3</v>
      </c>
      <c r="D968" s="8" t="s">
        <v>3734</v>
      </c>
      <c r="E968" s="8" t="s">
        <v>3735</v>
      </c>
      <c r="F968" s="8" t="s">
        <v>3736</v>
      </c>
      <c r="G968" s="8" t="s">
        <v>3737</v>
      </c>
      <c r="H968" s="8" t="s">
        <v>3714</v>
      </c>
      <c r="I968" s="8" t="s">
        <v>3261</v>
      </c>
      <c r="J968" s="8" t="s">
        <v>43</v>
      </c>
      <c r="K968" s="8" t="s">
        <v>350</v>
      </c>
      <c r="L968" s="6"/>
      <c r="M968" s="7" t="s">
        <v>43</v>
      </c>
      <c r="N968" s="7"/>
      <c r="O968" s="7"/>
      <c r="P968" s="6" t="s">
        <v>44</v>
      </c>
      <c r="Q968" s="6"/>
      <c r="R968" t="str">
        <f>HYPERLINK("https://docs.wto.org/imrd/directdoc.asp?DDFDocuments/t/G/TBTN21/BDI152A3.docx", "https://docs.wto.org/imrd/directdoc.asp?DDFDocuments/t/G/TBTN21/BDI152A3.docx")</f>
        <v>https://docs.wto.org/imrd/directdoc.asp?DDFDocuments/t/G/TBTN21/BDI152A3.docx</v>
      </c>
      <c r="S968" t="str">
        <f>HYPERLINK("https://docs.wto.org/imrd/directdoc.asp?DDFDocuments/u/G/TBTN21/BDI152A3.docx", "https://docs.wto.org/imrd/directdoc.asp?DDFDocuments/u/G/TBTN21/BDI152A3.docx")</f>
        <v>https://docs.wto.org/imrd/directdoc.asp?DDFDocuments/u/G/TBTN21/BDI152A3.docx</v>
      </c>
      <c r="T968" t="str">
        <f>HYPERLINK("https://docs.wto.org/imrd/directdoc.asp?DDFDocuments/v/G/TBTN21/BDI152A3.docx", "https://docs.wto.org/imrd/directdoc.asp?DDFDocuments/v/G/TBTN21/BDI152A3.docx")</f>
        <v>https://docs.wto.org/imrd/directdoc.asp?DDFDocuments/v/G/TBTN21/BDI152A3.docx</v>
      </c>
      <c r="U968" t="s">
        <v>64</v>
      </c>
      <c r="V968" t="s">
        <v>46</v>
      </c>
      <c r="W968" t="s">
        <v>64</v>
      </c>
      <c r="X968" t="s">
        <v>46</v>
      </c>
      <c r="Y968" t="s">
        <v>46</v>
      </c>
      <c r="Z968" t="s">
        <v>46</v>
      </c>
      <c r="AA968" t="s">
        <v>46</v>
      </c>
      <c r="AB968" s="2" t="s">
        <v>43</v>
      </c>
      <c r="AC968" t="s">
        <v>43</v>
      </c>
      <c r="AD968" t="s">
        <v>43</v>
      </c>
      <c r="AE968" t="s">
        <v>43</v>
      </c>
      <c r="AF968" t="s">
        <v>43</v>
      </c>
      <c r="AG968" t="s">
        <v>43</v>
      </c>
      <c r="AH968" s="2" t="s">
        <v>43</v>
      </c>
    </row>
    <row r="969" spans="1:34" ht="75">
      <c r="A969" s="6" t="s">
        <v>577</v>
      </c>
      <c r="B969" s="7">
        <v>46050</v>
      </c>
      <c r="C969" s="9" t="str">
        <f>HYPERLINK("https://eping.wto.org/en/Search?viewData= G/TBT/N/BDI/150/Add.3, G/TBT/N/RWA/529/Add.3, G/TBT/N/TZA/639/Add.3, G/TBT/N/UGA/1439/Add.3"," G/TBT/N/BDI/150/Add.3, G/TBT/N/RWA/529/Add.3, G/TBT/N/TZA/639/Add.3, G/TBT/N/UGA/1439/Add.3")</f>
        <v xml:space="preserve"> G/TBT/N/BDI/150/Add.3, G/TBT/N/RWA/529/Add.3, G/TBT/N/TZA/639/Add.3, G/TBT/N/UGA/1439/Add.3</v>
      </c>
      <c r="D969" s="8" t="s">
        <v>3805</v>
      </c>
      <c r="E969" s="8" t="s">
        <v>3806</v>
      </c>
      <c r="F969" s="8" t="s">
        <v>3807</v>
      </c>
      <c r="G969" s="8" t="s">
        <v>3808</v>
      </c>
      <c r="H969" s="8" t="s">
        <v>3714</v>
      </c>
      <c r="I969" s="8" t="s">
        <v>2822</v>
      </c>
      <c r="J969" s="8" t="s">
        <v>43</v>
      </c>
      <c r="K969" s="8" t="s">
        <v>350</v>
      </c>
      <c r="L969" s="6"/>
      <c r="M969" s="7" t="s">
        <v>43</v>
      </c>
      <c r="N969" s="7"/>
      <c r="O969" s="7"/>
      <c r="P969" s="6" t="s">
        <v>44</v>
      </c>
      <c r="Q969" s="6"/>
      <c r="R969" t="str">
        <f>HYPERLINK("https://docs.wto.org/imrd/directdoc.asp?DDFDocuments/t/G/TBTN21/BDI150A3.docx", "https://docs.wto.org/imrd/directdoc.asp?DDFDocuments/t/G/TBTN21/BDI150A3.docx")</f>
        <v>https://docs.wto.org/imrd/directdoc.asp?DDFDocuments/t/G/TBTN21/BDI150A3.docx</v>
      </c>
      <c r="S969" t="str">
        <f>HYPERLINK("https://docs.wto.org/imrd/directdoc.asp?DDFDocuments/u/G/TBTN21/BDI150A3.docx", "https://docs.wto.org/imrd/directdoc.asp?DDFDocuments/u/G/TBTN21/BDI150A3.docx")</f>
        <v>https://docs.wto.org/imrd/directdoc.asp?DDFDocuments/u/G/TBTN21/BDI150A3.docx</v>
      </c>
      <c r="T969" t="str">
        <f>HYPERLINK("https://docs.wto.org/imrd/directdoc.asp?DDFDocuments/v/G/TBTN21/BDI150A3.docx", "https://docs.wto.org/imrd/directdoc.asp?DDFDocuments/v/G/TBTN21/BDI150A3.docx")</f>
        <v>https://docs.wto.org/imrd/directdoc.asp?DDFDocuments/v/G/TBTN21/BDI150A3.docx</v>
      </c>
      <c r="U969" t="s">
        <v>64</v>
      </c>
      <c r="V969" t="s">
        <v>46</v>
      </c>
      <c r="W969" t="s">
        <v>46</v>
      </c>
      <c r="X969" t="s">
        <v>46</v>
      </c>
      <c r="Y969" t="s">
        <v>46</v>
      </c>
      <c r="Z969" t="s">
        <v>46</v>
      </c>
      <c r="AA969" t="s">
        <v>46</v>
      </c>
      <c r="AB969" s="2" t="s">
        <v>43</v>
      </c>
      <c r="AC969" t="s">
        <v>43</v>
      </c>
      <c r="AD969" t="s">
        <v>43</v>
      </c>
      <c r="AE969" t="s">
        <v>43</v>
      </c>
      <c r="AF969" t="s">
        <v>43</v>
      </c>
      <c r="AG969" t="s">
        <v>43</v>
      </c>
      <c r="AH969" s="2" t="s">
        <v>43</v>
      </c>
    </row>
    <row r="970" spans="1:34" ht="90">
      <c r="A970" s="6" t="s">
        <v>124</v>
      </c>
      <c r="B970" s="7">
        <v>46050</v>
      </c>
      <c r="C970" s="9" t="str">
        <f>HYPERLINK("https://eping.wto.org/en/Search?viewData= G/TBT/N/BDI/277/Add.3, G/TBT/N/KEN/1311/Add.3, G/TBT/N/RWA/711/Add.3, G/TBT/N/TZA/830/Add.3, G/TBT/N/UGA/1685/Add.3"," G/TBT/N/BDI/277/Add.3, G/TBT/N/KEN/1311/Add.3, G/TBT/N/RWA/711/Add.3, G/TBT/N/TZA/830/Add.3, G/TBT/N/UGA/1685/Add.3")</f>
        <v xml:space="preserve"> G/TBT/N/BDI/277/Add.3, G/TBT/N/KEN/1311/Add.3, G/TBT/N/RWA/711/Add.3, G/TBT/N/TZA/830/Add.3, G/TBT/N/UGA/1685/Add.3</v>
      </c>
      <c r="D970" s="8" t="s">
        <v>3758</v>
      </c>
      <c r="E970" s="8" t="s">
        <v>3759</v>
      </c>
      <c r="F970" s="8" t="s">
        <v>3760</v>
      </c>
      <c r="G970" s="8" t="s">
        <v>3761</v>
      </c>
      <c r="H970" s="8" t="s">
        <v>3269</v>
      </c>
      <c r="I970" s="8" t="s">
        <v>2827</v>
      </c>
      <c r="J970" s="8" t="s">
        <v>43</v>
      </c>
      <c r="K970" s="8" t="s">
        <v>43</v>
      </c>
      <c r="L970" s="6"/>
      <c r="M970" s="7" t="s">
        <v>43</v>
      </c>
      <c r="N970" s="7"/>
      <c r="O970" s="7"/>
      <c r="P970" s="6" t="s">
        <v>44</v>
      </c>
      <c r="Q970" s="6"/>
      <c r="R970" t="str">
        <f>HYPERLINK("https://docs.wto.org/imrd/directdoc.asp?DDFDocuments/t/G/TBTN22/BDI277A3.docx", "https://docs.wto.org/imrd/directdoc.asp?DDFDocuments/t/G/TBTN22/BDI277A3.docx")</f>
        <v>https://docs.wto.org/imrd/directdoc.asp?DDFDocuments/t/G/TBTN22/BDI277A3.docx</v>
      </c>
      <c r="S970" t="str">
        <f>HYPERLINK("https://docs.wto.org/imrd/directdoc.asp?DDFDocuments/u/G/TBTN22/BDI277A3.docx", "https://docs.wto.org/imrd/directdoc.asp?DDFDocuments/u/G/TBTN22/BDI277A3.docx")</f>
        <v>https://docs.wto.org/imrd/directdoc.asp?DDFDocuments/u/G/TBTN22/BDI277A3.docx</v>
      </c>
      <c r="T970" t="str">
        <f>HYPERLINK("https://docs.wto.org/imrd/directdoc.asp?DDFDocuments/v/G/TBTN22/BDI277A3.docx", "https://docs.wto.org/imrd/directdoc.asp?DDFDocuments/v/G/TBTN22/BDI277A3.docx")</f>
        <v>https://docs.wto.org/imrd/directdoc.asp?DDFDocuments/v/G/TBTN22/BDI277A3.docx</v>
      </c>
      <c r="U970" t="s">
        <v>64</v>
      </c>
      <c r="V970" t="s">
        <v>46</v>
      </c>
      <c r="W970" t="s">
        <v>64</v>
      </c>
      <c r="X970" t="s">
        <v>46</v>
      </c>
      <c r="Y970" t="s">
        <v>46</v>
      </c>
      <c r="Z970" t="s">
        <v>46</v>
      </c>
      <c r="AA970" t="s">
        <v>46</v>
      </c>
      <c r="AB970" s="2" t="s">
        <v>43</v>
      </c>
      <c r="AC970" t="s">
        <v>43</v>
      </c>
      <c r="AD970" t="s">
        <v>43</v>
      </c>
      <c r="AE970" t="s">
        <v>43</v>
      </c>
      <c r="AF970" t="s">
        <v>43</v>
      </c>
      <c r="AG970" t="s">
        <v>43</v>
      </c>
      <c r="AH970" s="2" t="s">
        <v>43</v>
      </c>
    </row>
    <row r="971" spans="1:34" ht="75">
      <c r="A971" s="6" t="s">
        <v>108</v>
      </c>
      <c r="B971" s="7">
        <v>46050</v>
      </c>
      <c r="C971" s="9" t="str">
        <f>HYPERLINK("https://eping.wto.org/en/Search?viewData= G/TBT/N/BDI/197/Add.3, G/TBT/N/KEN/1188/Add.3, G/TBT/N/RWA/588/Add.3, G/TBT/N/TZA/685/Add.3, G/TBT/N/UGA/1527/Add.3"," G/TBT/N/BDI/197/Add.3, G/TBT/N/KEN/1188/Add.3, G/TBT/N/RWA/588/Add.3, G/TBT/N/TZA/685/Add.3, G/TBT/N/UGA/1527/Add.3")</f>
        <v xml:space="preserve"> G/TBT/N/BDI/197/Add.3, G/TBT/N/KEN/1188/Add.3, G/TBT/N/RWA/588/Add.3, G/TBT/N/TZA/685/Add.3, G/TBT/N/UGA/1527/Add.3</v>
      </c>
      <c r="D971" s="8" t="s">
        <v>3710</v>
      </c>
      <c r="E971" s="8" t="s">
        <v>3711</v>
      </c>
      <c r="F971" s="8" t="s">
        <v>3712</v>
      </c>
      <c r="G971" s="8" t="s">
        <v>3713</v>
      </c>
      <c r="H971" s="8" t="s">
        <v>3714</v>
      </c>
      <c r="I971" s="8" t="s">
        <v>2822</v>
      </c>
      <c r="J971" s="8" t="s">
        <v>43</v>
      </c>
      <c r="K971" s="8" t="s">
        <v>43</v>
      </c>
      <c r="L971" s="6"/>
      <c r="M971" s="7" t="s">
        <v>43</v>
      </c>
      <c r="N971" s="7"/>
      <c r="O971" s="7"/>
      <c r="P971" s="6" t="s">
        <v>44</v>
      </c>
      <c r="Q971" s="6"/>
      <c r="R971" t="str">
        <f>HYPERLINK("https://docs.wto.org/imrd/directdoc.asp?DDFDocuments/t/G/TBTN21/BDI197A3.docx", "https://docs.wto.org/imrd/directdoc.asp?DDFDocuments/t/G/TBTN21/BDI197A3.docx")</f>
        <v>https://docs.wto.org/imrd/directdoc.asp?DDFDocuments/t/G/TBTN21/BDI197A3.docx</v>
      </c>
      <c r="S971" t="str">
        <f>HYPERLINK("https://docs.wto.org/imrd/directdoc.asp?DDFDocuments/u/G/TBTN21/BDI197A3.docx", "https://docs.wto.org/imrd/directdoc.asp?DDFDocuments/u/G/TBTN21/BDI197A3.docx")</f>
        <v>https://docs.wto.org/imrd/directdoc.asp?DDFDocuments/u/G/TBTN21/BDI197A3.docx</v>
      </c>
      <c r="T971" t="str">
        <f>HYPERLINK("https://docs.wto.org/imrd/directdoc.asp?DDFDocuments/v/G/TBTN21/BDI197A3.docx", "https://docs.wto.org/imrd/directdoc.asp?DDFDocuments/v/G/TBTN21/BDI197A3.docx")</f>
        <v>https://docs.wto.org/imrd/directdoc.asp?DDFDocuments/v/G/TBTN21/BDI197A3.docx</v>
      </c>
      <c r="U971" t="s">
        <v>64</v>
      </c>
      <c r="V971" t="s">
        <v>46</v>
      </c>
      <c r="W971" t="s">
        <v>64</v>
      </c>
      <c r="X971" t="s">
        <v>46</v>
      </c>
      <c r="Y971" t="s">
        <v>46</v>
      </c>
      <c r="Z971" t="s">
        <v>46</v>
      </c>
      <c r="AA971" t="s">
        <v>46</v>
      </c>
      <c r="AB971" s="2" t="s">
        <v>43</v>
      </c>
      <c r="AC971" t="s">
        <v>43</v>
      </c>
      <c r="AD971" t="s">
        <v>43</v>
      </c>
      <c r="AE971" t="s">
        <v>43</v>
      </c>
      <c r="AF971" t="s">
        <v>43</v>
      </c>
      <c r="AG971" t="s">
        <v>43</v>
      </c>
      <c r="AH971" s="2" t="s">
        <v>43</v>
      </c>
    </row>
    <row r="972" spans="1:34" ht="75">
      <c r="A972" s="6" t="s">
        <v>185</v>
      </c>
      <c r="B972" s="7">
        <v>46050</v>
      </c>
      <c r="C972" s="9" t="str">
        <f>HYPERLINK("https://eping.wto.org/en/Search?viewData= G/TBT/N/CHN/2191"," G/TBT/N/CHN/2191")</f>
        <v xml:space="preserve"> G/TBT/N/CHN/2191</v>
      </c>
      <c r="D972" s="8" t="s">
        <v>3882</v>
      </c>
      <c r="E972" s="8" t="s">
        <v>3883</v>
      </c>
      <c r="F972" s="8" t="s">
        <v>3884</v>
      </c>
      <c r="G972" s="8" t="s">
        <v>3885</v>
      </c>
      <c r="H972" s="8" t="s">
        <v>412</v>
      </c>
      <c r="I972" s="8" t="s">
        <v>413</v>
      </c>
      <c r="J972" s="8" t="s">
        <v>43</v>
      </c>
      <c r="K972" s="8" t="s">
        <v>43</v>
      </c>
      <c r="L972" s="6"/>
      <c r="M972" s="7">
        <v>46110</v>
      </c>
      <c r="N972" s="7" t="s">
        <v>79</v>
      </c>
      <c r="O972" s="7" t="s">
        <v>414</v>
      </c>
      <c r="P972" s="6" t="s">
        <v>62</v>
      </c>
      <c r="Q972" s="8" t="s">
        <v>3886</v>
      </c>
      <c r="R972" t="str">
        <f>HYPERLINK("https://docs.wto.org/imrd/directdoc.asp?DDFDocuments/t/G/TBTN26/CHN2191.docx", "https://docs.wto.org/imrd/directdoc.asp?DDFDocuments/t/G/TBTN26/CHN2191.docx")</f>
        <v>https://docs.wto.org/imrd/directdoc.asp?DDFDocuments/t/G/TBTN26/CHN2191.docx</v>
      </c>
      <c r="S972" t="str">
        <f>HYPERLINK("https://docs.wto.org/imrd/directdoc.asp?DDFDocuments/u/G/TBTN26/CHN2191.docx", "https://docs.wto.org/imrd/directdoc.asp?DDFDocuments/u/G/TBTN26/CHN2191.docx")</f>
        <v>https://docs.wto.org/imrd/directdoc.asp?DDFDocuments/u/G/TBTN26/CHN2191.docx</v>
      </c>
      <c r="T972" t="str">
        <f>HYPERLINK("https://docs.wto.org/imrd/directdoc.asp?DDFDocuments/v/G/TBTN26/CHN2191.docx", "https://docs.wto.org/imrd/directdoc.asp?DDFDocuments/v/G/TBTN26/CHN2191.docx")</f>
        <v>https://docs.wto.org/imrd/directdoc.asp?DDFDocuments/v/G/TBTN26/CHN2191.docx</v>
      </c>
      <c r="U972" t="s">
        <v>64</v>
      </c>
      <c r="V972" t="s">
        <v>46</v>
      </c>
      <c r="W972" t="s">
        <v>46</v>
      </c>
      <c r="X972" t="s">
        <v>46</v>
      </c>
      <c r="Y972" t="s">
        <v>46</v>
      </c>
      <c r="Z972" t="s">
        <v>46</v>
      </c>
      <c r="AA972" t="s">
        <v>46</v>
      </c>
      <c r="AB972" s="2" t="s">
        <v>43</v>
      </c>
      <c r="AC972" t="s">
        <v>43</v>
      </c>
      <c r="AD972" t="s">
        <v>43</v>
      </c>
      <c r="AE972" t="s">
        <v>43</v>
      </c>
      <c r="AF972" t="s">
        <v>43</v>
      </c>
      <c r="AG972" t="s">
        <v>43</v>
      </c>
      <c r="AH972" s="2" t="s">
        <v>43</v>
      </c>
    </row>
    <row r="973" spans="1:34" ht="90">
      <c r="A973" s="6" t="s">
        <v>577</v>
      </c>
      <c r="B973" s="7">
        <v>46050</v>
      </c>
      <c r="C973" s="9" t="str">
        <f>HYPERLINK("https://eping.wto.org/en/Search?viewData= G/TBT/N/BDI/275/Add.3, G/TBT/N/KEN/1309/Add.3, G/TBT/N/RWA/709/Add.3, G/TBT/N/TZA/828/Add.3, G/TBT/N/UGA/1683/Add.3"," G/TBT/N/BDI/275/Add.3, G/TBT/N/KEN/1309/Add.3, G/TBT/N/RWA/709/Add.3, G/TBT/N/TZA/828/Add.3, G/TBT/N/UGA/1683/Add.3")</f>
        <v xml:space="preserve"> G/TBT/N/BDI/275/Add.3, G/TBT/N/KEN/1309/Add.3, G/TBT/N/RWA/709/Add.3, G/TBT/N/TZA/828/Add.3, G/TBT/N/UGA/1683/Add.3</v>
      </c>
      <c r="D973" s="8" t="s">
        <v>3730</v>
      </c>
      <c r="E973" s="8" t="s">
        <v>3731</v>
      </c>
      <c r="F973" s="8" t="s">
        <v>3732</v>
      </c>
      <c r="G973" s="8" t="s">
        <v>3733</v>
      </c>
      <c r="H973" s="8" t="s">
        <v>3269</v>
      </c>
      <c r="I973" s="8" t="s">
        <v>2827</v>
      </c>
      <c r="J973" s="8" t="s">
        <v>43</v>
      </c>
      <c r="K973" s="8" t="s">
        <v>43</v>
      </c>
      <c r="L973" s="6"/>
      <c r="M973" s="7" t="s">
        <v>43</v>
      </c>
      <c r="N973" s="7"/>
      <c r="O973" s="7"/>
      <c r="P973" s="6" t="s">
        <v>44</v>
      </c>
      <c r="Q973" s="6"/>
      <c r="R973" t="str">
        <f>HYPERLINK("https://docs.wto.org/imrd/directdoc.asp?DDFDocuments/t/G/TBTN22/BDI275A3.docx", "https://docs.wto.org/imrd/directdoc.asp?DDFDocuments/t/G/TBTN22/BDI275A3.docx")</f>
        <v>https://docs.wto.org/imrd/directdoc.asp?DDFDocuments/t/G/TBTN22/BDI275A3.docx</v>
      </c>
      <c r="S973" t="str">
        <f>HYPERLINK("https://docs.wto.org/imrd/directdoc.asp?DDFDocuments/u/G/TBTN22/BDI275A3.docx", "https://docs.wto.org/imrd/directdoc.asp?DDFDocuments/u/G/TBTN22/BDI275A3.docx")</f>
        <v>https://docs.wto.org/imrd/directdoc.asp?DDFDocuments/u/G/TBTN22/BDI275A3.docx</v>
      </c>
      <c r="T973" t="str">
        <f>HYPERLINK("https://docs.wto.org/imrd/directdoc.asp?DDFDocuments/v/G/TBTN22/BDI275A3.docx", "https://docs.wto.org/imrd/directdoc.asp?DDFDocuments/v/G/TBTN22/BDI275A3.docx")</f>
        <v>https://docs.wto.org/imrd/directdoc.asp?DDFDocuments/v/G/TBTN22/BDI275A3.docx</v>
      </c>
      <c r="U973" t="s">
        <v>64</v>
      </c>
      <c r="V973" t="s">
        <v>46</v>
      </c>
      <c r="W973" t="s">
        <v>64</v>
      </c>
      <c r="X973" t="s">
        <v>46</v>
      </c>
      <c r="Y973" t="s">
        <v>46</v>
      </c>
      <c r="Z973" t="s">
        <v>46</v>
      </c>
      <c r="AA973" t="s">
        <v>46</v>
      </c>
      <c r="AB973" s="2" t="s">
        <v>43</v>
      </c>
      <c r="AC973" t="s">
        <v>43</v>
      </c>
      <c r="AD973" t="s">
        <v>43</v>
      </c>
      <c r="AE973" t="s">
        <v>43</v>
      </c>
      <c r="AF973" t="s">
        <v>43</v>
      </c>
      <c r="AG973" t="s">
        <v>43</v>
      </c>
      <c r="AH973" s="2" t="s">
        <v>43</v>
      </c>
    </row>
    <row r="974" spans="1:34" ht="225">
      <c r="A974" s="6" t="s">
        <v>3887</v>
      </c>
      <c r="B974" s="7">
        <v>46050</v>
      </c>
      <c r="C974" s="9" t="str">
        <f>HYPERLINK("https://eping.wto.org/en/Search?viewData= G/SPS/N/SWE/1"," G/SPS/N/SWE/1")</f>
        <v xml:space="preserve"> G/SPS/N/SWE/1</v>
      </c>
      <c r="D974" s="8" t="s">
        <v>3888</v>
      </c>
      <c r="E974" s="8" t="s">
        <v>3889</v>
      </c>
      <c r="F974" s="8" t="s">
        <v>3890</v>
      </c>
      <c r="G974" s="8" t="s">
        <v>3891</v>
      </c>
      <c r="H974" s="8" t="s">
        <v>43</v>
      </c>
      <c r="I974" s="8" t="s">
        <v>3892</v>
      </c>
      <c r="J974" s="8"/>
      <c r="K974" s="8" t="s">
        <v>3893</v>
      </c>
      <c r="L974" s="6" t="s">
        <v>43</v>
      </c>
      <c r="M974" s="7">
        <v>46110</v>
      </c>
      <c r="N974" s="7" t="s">
        <v>3894</v>
      </c>
      <c r="O974" s="7" t="s">
        <v>3895</v>
      </c>
      <c r="P974" s="6" t="s">
        <v>62</v>
      </c>
      <c r="Q974" s="8" t="s">
        <v>3896</v>
      </c>
      <c r="R974" t="str">
        <f>HYPERLINK("https://docs.wto.org/imrd/directdoc.asp?DDFDocuments/t/G/SPS/NSWE1.docx", "https://docs.wto.org/imrd/directdoc.asp?DDFDocuments/t/G/SPS/NSWE1.docx")</f>
        <v>https://docs.wto.org/imrd/directdoc.asp?DDFDocuments/t/G/SPS/NSWE1.docx</v>
      </c>
      <c r="S974" t="str">
        <f>HYPERLINK("https://docs.wto.org/imrd/directdoc.asp?DDFDocuments/u/G/SPS/NSWE1.docx", "https://docs.wto.org/imrd/directdoc.asp?DDFDocuments/u/G/SPS/NSWE1.docx")</f>
        <v>https://docs.wto.org/imrd/directdoc.asp?DDFDocuments/u/G/SPS/NSWE1.docx</v>
      </c>
      <c r="T974" t="str">
        <f>HYPERLINK("https://docs.wto.org/imrd/directdoc.asp?DDFDocuments/v/G/SPS/NSWE1.docx", "https://docs.wto.org/imrd/directdoc.asp?DDFDocuments/v/G/SPS/NSWE1.docx")</f>
        <v>https://docs.wto.org/imrd/directdoc.asp?DDFDocuments/v/G/SPS/NSWE1.docx</v>
      </c>
      <c r="U974" t="s">
        <v>43</v>
      </c>
      <c r="V974" t="s">
        <v>43</v>
      </c>
      <c r="W974" t="s">
        <v>43</v>
      </c>
      <c r="X974" t="s">
        <v>43</v>
      </c>
      <c r="Y974" t="s">
        <v>43</v>
      </c>
      <c r="Z974" t="s">
        <v>43</v>
      </c>
      <c r="AA974" t="s">
        <v>43</v>
      </c>
      <c r="AB974" s="2" t="s">
        <v>43</v>
      </c>
      <c r="AC974" t="s">
        <v>46</v>
      </c>
      <c r="AD974" t="s">
        <v>46</v>
      </c>
      <c r="AE974" t="s">
        <v>46</v>
      </c>
      <c r="AF974" t="s">
        <v>64</v>
      </c>
      <c r="AG974" t="s">
        <v>99</v>
      </c>
    </row>
    <row r="975" spans="1:34" ht="225">
      <c r="A975" s="6" t="s">
        <v>132</v>
      </c>
      <c r="B975" s="7">
        <v>46049</v>
      </c>
      <c r="C975" s="9" t="str">
        <f>HYPERLINK("https://eping.wto.org/en/Search?viewData= G/TBT/N/USA/2093/Add.2"," G/TBT/N/USA/2093/Add.2")</f>
        <v xml:space="preserve"> G/TBT/N/USA/2093/Add.2</v>
      </c>
      <c r="D975" s="8" t="s">
        <v>3897</v>
      </c>
      <c r="E975" s="8" t="s">
        <v>3898</v>
      </c>
      <c r="F975" s="8" t="s">
        <v>3899</v>
      </c>
      <c r="G975" s="8" t="s">
        <v>3900</v>
      </c>
      <c r="H975" s="8" t="s">
        <v>3901</v>
      </c>
      <c r="I975" s="8" t="s">
        <v>621</v>
      </c>
      <c r="J975" s="8" t="s">
        <v>43</v>
      </c>
      <c r="K975" s="8" t="s">
        <v>43</v>
      </c>
      <c r="L975" s="6"/>
      <c r="M975" s="7" t="s">
        <v>43</v>
      </c>
      <c r="N975" s="7"/>
      <c r="O975" s="7"/>
      <c r="P975" s="6" t="s">
        <v>44</v>
      </c>
      <c r="Q975" s="8" t="s">
        <v>3902</v>
      </c>
      <c r="R975" t="str">
        <f>HYPERLINK("https://docs.wto.org/imrd/directdoc.asp?DDFDocuments/t/G/TBTN24/USA2093A2.docx", "https://docs.wto.org/imrd/directdoc.asp?DDFDocuments/t/G/TBTN24/USA2093A2.docx")</f>
        <v>https://docs.wto.org/imrd/directdoc.asp?DDFDocuments/t/G/TBTN24/USA2093A2.docx</v>
      </c>
      <c r="S975" t="str">
        <f>HYPERLINK("https://docs.wto.org/imrd/directdoc.asp?DDFDocuments/u/G/TBTN24/USA2093A2.docx", "https://docs.wto.org/imrd/directdoc.asp?DDFDocuments/u/G/TBTN24/USA2093A2.docx")</f>
        <v>https://docs.wto.org/imrd/directdoc.asp?DDFDocuments/u/G/TBTN24/USA2093A2.docx</v>
      </c>
      <c r="T975" t="str">
        <f>HYPERLINK("https://docs.wto.org/imrd/directdoc.asp?DDFDocuments/v/G/TBTN24/USA2093A2.docx", "https://docs.wto.org/imrd/directdoc.asp?DDFDocuments/v/G/TBTN24/USA2093A2.docx")</f>
        <v>https://docs.wto.org/imrd/directdoc.asp?DDFDocuments/v/G/TBTN24/USA2093A2.docx</v>
      </c>
      <c r="U975" t="s">
        <v>64</v>
      </c>
      <c r="V975" t="s">
        <v>46</v>
      </c>
      <c r="W975" t="s">
        <v>64</v>
      </c>
      <c r="X975" t="s">
        <v>46</v>
      </c>
      <c r="Y975" t="s">
        <v>46</v>
      </c>
      <c r="Z975" t="s">
        <v>46</v>
      </c>
      <c r="AA975" t="s">
        <v>46</v>
      </c>
      <c r="AB975" s="2" t="s">
        <v>43</v>
      </c>
      <c r="AC975" t="s">
        <v>43</v>
      </c>
      <c r="AD975" t="s">
        <v>43</v>
      </c>
      <c r="AE975" t="s">
        <v>43</v>
      </c>
      <c r="AF975" t="s">
        <v>43</v>
      </c>
      <c r="AG975" t="s">
        <v>43</v>
      </c>
      <c r="AH975" s="2" t="s">
        <v>43</v>
      </c>
    </row>
    <row r="976" spans="1:34" ht="75">
      <c r="A976" s="6" t="s">
        <v>124</v>
      </c>
      <c r="B976" s="7">
        <v>46049</v>
      </c>
      <c r="C976" s="9" t="str">
        <f>HYPERLINK("https://eping.wto.org/en/Search?viewData= G/TBT/N/BDI/260/Add.2, G/TBT/N/KEN/1289/Add.2, G/TBT/N/RWA/695/Add.2, G/TBT/N/TZA/814/Add.2, G/TBT/N/UGA/1665/Add.2"," G/TBT/N/BDI/260/Add.2, G/TBT/N/KEN/1289/Add.2, G/TBT/N/RWA/695/Add.2, G/TBT/N/TZA/814/Add.2, G/TBT/N/UGA/1665/Add.2")</f>
        <v xml:space="preserve"> G/TBT/N/BDI/260/Add.2, G/TBT/N/KEN/1289/Add.2, G/TBT/N/RWA/695/Add.2, G/TBT/N/TZA/814/Add.2, G/TBT/N/UGA/1665/Add.2</v>
      </c>
      <c r="D976" s="8" t="s">
        <v>3903</v>
      </c>
      <c r="E976" s="8" t="s">
        <v>3904</v>
      </c>
      <c r="F976" s="8" t="s">
        <v>3905</v>
      </c>
      <c r="G976" s="8" t="s">
        <v>3906</v>
      </c>
      <c r="H976" s="8" t="s">
        <v>3907</v>
      </c>
      <c r="I976" s="8" t="s">
        <v>3908</v>
      </c>
      <c r="J976" s="8" t="s">
        <v>43</v>
      </c>
      <c r="K976" s="8" t="s">
        <v>43</v>
      </c>
      <c r="L976" s="6"/>
      <c r="M976" s="7" t="s">
        <v>43</v>
      </c>
      <c r="N976" s="7"/>
      <c r="O976" s="7"/>
      <c r="P976" s="6" t="s">
        <v>44</v>
      </c>
      <c r="Q976" s="6"/>
      <c r="R976" t="str">
        <f>HYPERLINK("https://docs.wto.org/imrd/directdoc.asp?DDFDocuments/t/G/TBTN22/BDI260A2.docx", "https://docs.wto.org/imrd/directdoc.asp?DDFDocuments/t/G/TBTN22/BDI260A2.docx")</f>
        <v>https://docs.wto.org/imrd/directdoc.asp?DDFDocuments/t/G/TBTN22/BDI260A2.docx</v>
      </c>
      <c r="S976" t="str">
        <f>HYPERLINK("https://docs.wto.org/imrd/directdoc.asp?DDFDocuments/u/G/TBTN22/BDI260A2.docx", "https://docs.wto.org/imrd/directdoc.asp?DDFDocuments/u/G/TBTN22/BDI260A2.docx")</f>
        <v>https://docs.wto.org/imrd/directdoc.asp?DDFDocuments/u/G/TBTN22/BDI260A2.docx</v>
      </c>
      <c r="T976" t="str">
        <f>HYPERLINK("https://docs.wto.org/imrd/directdoc.asp?DDFDocuments/v/G/TBTN22/BDI260A2.docx", "https://docs.wto.org/imrd/directdoc.asp?DDFDocuments/v/G/TBTN22/BDI260A2.docx")</f>
        <v>https://docs.wto.org/imrd/directdoc.asp?DDFDocuments/v/G/TBTN22/BDI260A2.docx</v>
      </c>
      <c r="U976" t="s">
        <v>64</v>
      </c>
      <c r="V976" t="s">
        <v>46</v>
      </c>
      <c r="W976" t="s">
        <v>64</v>
      </c>
      <c r="X976" t="s">
        <v>46</v>
      </c>
      <c r="Y976" t="s">
        <v>46</v>
      </c>
      <c r="Z976" t="s">
        <v>46</v>
      </c>
      <c r="AA976" t="s">
        <v>46</v>
      </c>
      <c r="AB976" s="2" t="s">
        <v>43</v>
      </c>
      <c r="AC976" t="s">
        <v>43</v>
      </c>
      <c r="AD976" t="s">
        <v>43</v>
      </c>
      <c r="AE976" t="s">
        <v>43</v>
      </c>
      <c r="AF976" t="s">
        <v>43</v>
      </c>
      <c r="AG976" t="s">
        <v>43</v>
      </c>
      <c r="AH976" s="2" t="s">
        <v>43</v>
      </c>
    </row>
    <row r="977" spans="1:34" ht="75">
      <c r="A977" s="6" t="s">
        <v>509</v>
      </c>
      <c r="B977" s="7">
        <v>46049</v>
      </c>
      <c r="C977" s="9" t="str">
        <f>HYPERLINK("https://eping.wto.org/en/Search?viewData= G/TBT/N/BDI/260/Add.2, G/TBT/N/KEN/1289/Add.2, G/TBT/N/RWA/695/Add.2, G/TBT/N/TZA/814/Add.2, G/TBT/N/UGA/1665/Add.2"," G/TBT/N/BDI/260/Add.2, G/TBT/N/KEN/1289/Add.2, G/TBT/N/RWA/695/Add.2, G/TBT/N/TZA/814/Add.2, G/TBT/N/UGA/1665/Add.2")</f>
        <v xml:space="preserve"> G/TBT/N/BDI/260/Add.2, G/TBT/N/KEN/1289/Add.2, G/TBT/N/RWA/695/Add.2, G/TBT/N/TZA/814/Add.2, G/TBT/N/UGA/1665/Add.2</v>
      </c>
      <c r="D977" s="8" t="s">
        <v>3903</v>
      </c>
      <c r="E977" s="8" t="s">
        <v>3904</v>
      </c>
      <c r="F977" s="8" t="s">
        <v>3905</v>
      </c>
      <c r="G977" s="8" t="s">
        <v>3906</v>
      </c>
      <c r="H977" s="8" t="s">
        <v>3907</v>
      </c>
      <c r="I977" s="8" t="s">
        <v>3908</v>
      </c>
      <c r="J977" s="8" t="s">
        <v>43</v>
      </c>
      <c r="K977" s="8" t="s">
        <v>43</v>
      </c>
      <c r="L977" s="6"/>
      <c r="M977" s="7" t="s">
        <v>43</v>
      </c>
      <c r="N977" s="7"/>
      <c r="O977" s="7"/>
      <c r="P977" s="6" t="s">
        <v>44</v>
      </c>
      <c r="Q977" s="6"/>
      <c r="R977" t="str">
        <f>HYPERLINK("https://docs.wto.org/imrd/directdoc.asp?DDFDocuments/t/G/TBTN22/BDI260A2.docx", "https://docs.wto.org/imrd/directdoc.asp?DDFDocuments/t/G/TBTN22/BDI260A2.docx")</f>
        <v>https://docs.wto.org/imrd/directdoc.asp?DDFDocuments/t/G/TBTN22/BDI260A2.docx</v>
      </c>
      <c r="S977" t="str">
        <f>HYPERLINK("https://docs.wto.org/imrd/directdoc.asp?DDFDocuments/u/G/TBTN22/BDI260A2.docx", "https://docs.wto.org/imrd/directdoc.asp?DDFDocuments/u/G/TBTN22/BDI260A2.docx")</f>
        <v>https://docs.wto.org/imrd/directdoc.asp?DDFDocuments/u/G/TBTN22/BDI260A2.docx</v>
      </c>
      <c r="T977" t="str">
        <f>HYPERLINK("https://docs.wto.org/imrd/directdoc.asp?DDFDocuments/v/G/TBTN22/BDI260A2.docx", "https://docs.wto.org/imrd/directdoc.asp?DDFDocuments/v/G/TBTN22/BDI260A2.docx")</f>
        <v>https://docs.wto.org/imrd/directdoc.asp?DDFDocuments/v/G/TBTN22/BDI260A2.docx</v>
      </c>
      <c r="U977" t="s">
        <v>64</v>
      </c>
      <c r="V977" t="s">
        <v>46</v>
      </c>
      <c r="W977" t="s">
        <v>64</v>
      </c>
      <c r="X977" t="s">
        <v>46</v>
      </c>
      <c r="Y977" t="s">
        <v>46</v>
      </c>
      <c r="Z977" t="s">
        <v>46</v>
      </c>
      <c r="AA977" t="s">
        <v>46</v>
      </c>
      <c r="AB977" s="2" t="s">
        <v>43</v>
      </c>
      <c r="AC977" t="s">
        <v>43</v>
      </c>
      <c r="AD977" t="s">
        <v>43</v>
      </c>
      <c r="AE977" t="s">
        <v>43</v>
      </c>
      <c r="AF977" t="s">
        <v>43</v>
      </c>
      <c r="AG977" t="s">
        <v>43</v>
      </c>
      <c r="AH977" s="2" t="s">
        <v>43</v>
      </c>
    </row>
    <row r="978" spans="1:34" ht="75">
      <c r="A978" s="6" t="s">
        <v>577</v>
      </c>
      <c r="B978" s="7">
        <v>46049</v>
      </c>
      <c r="C978" s="9" t="str">
        <f>HYPERLINK("https://eping.wto.org/en/Search?viewData= G/TBT/N/BDI/261/Add.3, G/TBT/N/KEN/1290/Add.3, G/TBT/N/RWA/696/Add.3, G/TBT/N/TZA/815/Add.3, G/TBT/N/UGA/1666/Add.3"," G/TBT/N/BDI/261/Add.3, G/TBT/N/KEN/1290/Add.3, G/TBT/N/RWA/696/Add.3, G/TBT/N/TZA/815/Add.3, G/TBT/N/UGA/1666/Add.3")</f>
        <v xml:space="preserve"> G/TBT/N/BDI/261/Add.3, G/TBT/N/KEN/1290/Add.3, G/TBT/N/RWA/696/Add.3, G/TBT/N/TZA/815/Add.3, G/TBT/N/UGA/1666/Add.3</v>
      </c>
      <c r="D978" s="8" t="s">
        <v>3909</v>
      </c>
      <c r="E978" s="8" t="s">
        <v>3910</v>
      </c>
      <c r="F978" s="8" t="s">
        <v>3905</v>
      </c>
      <c r="G978" s="8" t="s">
        <v>3906</v>
      </c>
      <c r="H978" s="8" t="s">
        <v>3907</v>
      </c>
      <c r="I978" s="8" t="s">
        <v>3911</v>
      </c>
      <c r="J978" s="8" t="s">
        <v>43</v>
      </c>
      <c r="K978" s="8" t="s">
        <v>43</v>
      </c>
      <c r="L978" s="6"/>
      <c r="M978" s="7" t="s">
        <v>43</v>
      </c>
      <c r="N978" s="7"/>
      <c r="O978" s="7"/>
      <c r="P978" s="6" t="s">
        <v>44</v>
      </c>
      <c r="Q978" s="6"/>
      <c r="R978" t="str">
        <f>HYPERLINK("https://docs.wto.org/imrd/directdoc.asp?DDFDocuments/t/G/TBTN22/BDI261A3.docx", "https://docs.wto.org/imrd/directdoc.asp?DDFDocuments/t/G/TBTN22/BDI261A3.docx")</f>
        <v>https://docs.wto.org/imrd/directdoc.asp?DDFDocuments/t/G/TBTN22/BDI261A3.docx</v>
      </c>
      <c r="S978" t="str">
        <f>HYPERLINK("https://docs.wto.org/imrd/directdoc.asp?DDFDocuments/u/G/TBTN22/BDI261A3.docx", "https://docs.wto.org/imrd/directdoc.asp?DDFDocuments/u/G/TBTN22/BDI261A3.docx")</f>
        <v>https://docs.wto.org/imrd/directdoc.asp?DDFDocuments/u/G/TBTN22/BDI261A3.docx</v>
      </c>
      <c r="T978" t="str">
        <f>HYPERLINK("https://docs.wto.org/imrd/directdoc.asp?DDFDocuments/v/G/TBTN22/BDI261A3.docx", "https://docs.wto.org/imrd/directdoc.asp?DDFDocuments/v/G/TBTN22/BDI261A3.docx")</f>
        <v>https://docs.wto.org/imrd/directdoc.asp?DDFDocuments/v/G/TBTN22/BDI261A3.docx</v>
      </c>
      <c r="U978" t="s">
        <v>64</v>
      </c>
      <c r="V978" t="s">
        <v>46</v>
      </c>
      <c r="W978" t="s">
        <v>64</v>
      </c>
      <c r="X978" t="s">
        <v>46</v>
      </c>
      <c r="Y978" t="s">
        <v>46</v>
      </c>
      <c r="Z978" t="s">
        <v>46</v>
      </c>
      <c r="AA978" t="s">
        <v>46</v>
      </c>
      <c r="AB978" s="2" t="s">
        <v>43</v>
      </c>
      <c r="AC978" t="s">
        <v>43</v>
      </c>
      <c r="AD978" t="s">
        <v>43</v>
      </c>
      <c r="AE978" t="s">
        <v>43</v>
      </c>
      <c r="AF978" t="s">
        <v>43</v>
      </c>
      <c r="AG978" t="s">
        <v>43</v>
      </c>
      <c r="AH978" s="2" t="s">
        <v>43</v>
      </c>
    </row>
    <row r="979" spans="1:34" ht="75">
      <c r="A979" s="6" t="s">
        <v>124</v>
      </c>
      <c r="B979" s="7">
        <v>46049</v>
      </c>
      <c r="C979" s="9" t="str">
        <f>HYPERLINK("https://eping.wto.org/en/Search?viewData= G/TBT/N/BDI/263/Add.3, G/TBT/N/KEN/1292/Add.3, G/TBT/N/RWA/698/Add.3, G/TBT/N/TZA/817/Add.3, G/TBT/N/UGA/1668/Add.3"," G/TBT/N/BDI/263/Add.3, G/TBT/N/KEN/1292/Add.3, G/TBT/N/RWA/698/Add.3, G/TBT/N/TZA/817/Add.3, G/TBT/N/UGA/1668/Add.3")</f>
        <v xml:space="preserve"> G/TBT/N/BDI/263/Add.3, G/TBT/N/KEN/1292/Add.3, G/TBT/N/RWA/698/Add.3, G/TBT/N/TZA/817/Add.3, G/TBT/N/UGA/1668/Add.3</v>
      </c>
      <c r="D979" s="8" t="s">
        <v>3912</v>
      </c>
      <c r="E979" s="8" t="s">
        <v>3913</v>
      </c>
      <c r="F979" s="8" t="s">
        <v>3905</v>
      </c>
      <c r="G979" s="8" t="s">
        <v>3906</v>
      </c>
      <c r="H979" s="8" t="s">
        <v>3907</v>
      </c>
      <c r="I979" s="8" t="s">
        <v>3914</v>
      </c>
      <c r="J979" s="8" t="s">
        <v>43</v>
      </c>
      <c r="K979" s="8" t="s">
        <v>43</v>
      </c>
      <c r="L979" s="6"/>
      <c r="M979" s="7" t="s">
        <v>43</v>
      </c>
      <c r="N979" s="7"/>
      <c r="O979" s="7"/>
      <c r="P979" s="6" t="s">
        <v>44</v>
      </c>
      <c r="Q979" s="6"/>
      <c r="R979" t="str">
        <f>HYPERLINK("https://docs.wto.org/imrd/directdoc.asp?DDFDocuments/t/G/TBTN22/BDI263A3.docx", "https://docs.wto.org/imrd/directdoc.asp?DDFDocuments/t/G/TBTN22/BDI263A3.docx")</f>
        <v>https://docs.wto.org/imrd/directdoc.asp?DDFDocuments/t/G/TBTN22/BDI263A3.docx</v>
      </c>
      <c r="S979" t="str">
        <f>HYPERLINK("https://docs.wto.org/imrd/directdoc.asp?DDFDocuments/u/G/TBTN22/BDI263A3.docx", "https://docs.wto.org/imrd/directdoc.asp?DDFDocuments/u/G/TBTN22/BDI263A3.docx")</f>
        <v>https://docs.wto.org/imrd/directdoc.asp?DDFDocuments/u/G/TBTN22/BDI263A3.docx</v>
      </c>
      <c r="T979" t="str">
        <f>HYPERLINK("https://docs.wto.org/imrd/directdoc.asp?DDFDocuments/v/G/TBTN22/BDI263A3.docx", "https://docs.wto.org/imrd/directdoc.asp?DDFDocuments/v/G/TBTN22/BDI263A3.docx")</f>
        <v>https://docs.wto.org/imrd/directdoc.asp?DDFDocuments/v/G/TBTN22/BDI263A3.docx</v>
      </c>
      <c r="U979" t="s">
        <v>64</v>
      </c>
      <c r="V979" t="s">
        <v>46</v>
      </c>
      <c r="W979" t="s">
        <v>64</v>
      </c>
      <c r="X979" t="s">
        <v>46</v>
      </c>
      <c r="Y979" t="s">
        <v>46</v>
      </c>
      <c r="Z979" t="s">
        <v>46</v>
      </c>
      <c r="AA979" t="s">
        <v>46</v>
      </c>
      <c r="AB979" s="2" t="s">
        <v>43</v>
      </c>
      <c r="AC979" t="s">
        <v>43</v>
      </c>
      <c r="AD979" t="s">
        <v>43</v>
      </c>
      <c r="AE979" t="s">
        <v>43</v>
      </c>
      <c r="AF979" t="s">
        <v>43</v>
      </c>
      <c r="AG979" t="s">
        <v>43</v>
      </c>
      <c r="AH979" s="2" t="s">
        <v>43</v>
      </c>
    </row>
    <row r="980" spans="1:34" ht="75">
      <c r="A980" s="6" t="s">
        <v>509</v>
      </c>
      <c r="B980" s="7">
        <v>46049</v>
      </c>
      <c r="C980" s="9" t="str">
        <f>HYPERLINK("https://eping.wto.org/en/Search?viewData= G/TBT/N/BDI/262/Add.3, G/TBT/N/KEN/1291/Add.3, G/TBT/N/RWA/697/Add.3, G/TBT/N/TZA/816/Add.3, G/TBT/N/UGA/1667/Add.3"," G/TBT/N/BDI/262/Add.3, G/TBT/N/KEN/1291/Add.3, G/TBT/N/RWA/697/Add.3, G/TBT/N/TZA/816/Add.3, G/TBT/N/UGA/1667/Add.3")</f>
        <v xml:space="preserve"> G/TBT/N/BDI/262/Add.3, G/TBT/N/KEN/1291/Add.3, G/TBT/N/RWA/697/Add.3, G/TBT/N/TZA/816/Add.3, G/TBT/N/UGA/1667/Add.3</v>
      </c>
      <c r="D980" s="8" t="s">
        <v>3915</v>
      </c>
      <c r="E980" s="8" t="s">
        <v>3916</v>
      </c>
      <c r="F980" s="8" t="s">
        <v>3905</v>
      </c>
      <c r="G980" s="8" t="s">
        <v>3906</v>
      </c>
      <c r="H980" s="8" t="s">
        <v>3907</v>
      </c>
      <c r="I980" s="8" t="s">
        <v>3908</v>
      </c>
      <c r="J980" s="8" t="s">
        <v>43</v>
      </c>
      <c r="K980" s="8" t="s">
        <v>43</v>
      </c>
      <c r="L980" s="6"/>
      <c r="M980" s="7" t="s">
        <v>43</v>
      </c>
      <c r="N980" s="7"/>
      <c r="O980" s="7"/>
      <c r="P980" s="6" t="s">
        <v>44</v>
      </c>
      <c r="Q980" s="6"/>
      <c r="R980" t="str">
        <f>HYPERLINK("https://docs.wto.org/imrd/directdoc.asp?DDFDocuments/t/G/TBTN22/BDI262A3.docx", "https://docs.wto.org/imrd/directdoc.asp?DDFDocuments/t/G/TBTN22/BDI262A3.docx")</f>
        <v>https://docs.wto.org/imrd/directdoc.asp?DDFDocuments/t/G/TBTN22/BDI262A3.docx</v>
      </c>
      <c r="S980" t="str">
        <f>HYPERLINK("https://docs.wto.org/imrd/directdoc.asp?DDFDocuments/u/G/TBTN22/BDI262A3.docx", "https://docs.wto.org/imrd/directdoc.asp?DDFDocuments/u/G/TBTN22/BDI262A3.docx")</f>
        <v>https://docs.wto.org/imrd/directdoc.asp?DDFDocuments/u/G/TBTN22/BDI262A3.docx</v>
      </c>
      <c r="T980" t="str">
        <f>HYPERLINK("https://docs.wto.org/imrd/directdoc.asp?DDFDocuments/v/G/TBTN22/BDI262A3.docx", "https://docs.wto.org/imrd/directdoc.asp?DDFDocuments/v/G/TBTN22/BDI262A3.docx")</f>
        <v>https://docs.wto.org/imrd/directdoc.asp?DDFDocuments/v/G/TBTN22/BDI262A3.docx</v>
      </c>
      <c r="U980" t="s">
        <v>64</v>
      </c>
      <c r="V980" t="s">
        <v>46</v>
      </c>
      <c r="W980" t="s">
        <v>64</v>
      </c>
      <c r="X980" t="s">
        <v>46</v>
      </c>
      <c r="Y980" t="s">
        <v>46</v>
      </c>
      <c r="Z980" t="s">
        <v>46</v>
      </c>
      <c r="AA980" t="s">
        <v>46</v>
      </c>
      <c r="AB980" s="2" t="s">
        <v>43</v>
      </c>
      <c r="AC980" t="s">
        <v>43</v>
      </c>
      <c r="AD980" t="s">
        <v>43</v>
      </c>
      <c r="AE980" t="s">
        <v>43</v>
      </c>
      <c r="AF980" t="s">
        <v>43</v>
      </c>
      <c r="AG980" t="s">
        <v>43</v>
      </c>
      <c r="AH980" s="2" t="s">
        <v>43</v>
      </c>
    </row>
    <row r="981" spans="1:34" ht="285">
      <c r="A981" s="6" t="s">
        <v>122</v>
      </c>
      <c r="B981" s="7">
        <v>46049</v>
      </c>
      <c r="C981" s="9" t="str">
        <f>HYPERLINK("https://eping.wto.org/en/Search?viewData= G/TBT/N/TUR/79/Add.5"," G/TBT/N/TUR/79/Add.5")</f>
        <v xml:space="preserve"> G/TBT/N/TUR/79/Add.5</v>
      </c>
      <c r="D981" s="8" t="s">
        <v>3917</v>
      </c>
      <c r="E981" s="8" t="s">
        <v>3918</v>
      </c>
      <c r="F981" s="8" t="s">
        <v>3919</v>
      </c>
      <c r="G981" s="8" t="s">
        <v>43</v>
      </c>
      <c r="H981" s="8" t="s">
        <v>3920</v>
      </c>
      <c r="I981" s="8" t="s">
        <v>275</v>
      </c>
      <c r="J981" s="8" t="s">
        <v>3921</v>
      </c>
      <c r="K981" s="8" t="s">
        <v>1029</v>
      </c>
      <c r="L981" s="6"/>
      <c r="M981" s="7" t="s">
        <v>43</v>
      </c>
      <c r="N981" s="7"/>
      <c r="O981" s="7"/>
      <c r="P981" s="6" t="s">
        <v>44</v>
      </c>
      <c r="Q981" s="8" t="s">
        <v>3922</v>
      </c>
      <c r="R981" t="str">
        <f>HYPERLINK("https://docs.wto.org/imrd/directdoc.asp?DDFDocuments/t/G/TBTN16/TUR79A5.docx", "https://docs.wto.org/imrd/directdoc.asp?DDFDocuments/t/G/TBTN16/TUR79A5.docx")</f>
        <v>https://docs.wto.org/imrd/directdoc.asp?DDFDocuments/t/G/TBTN16/TUR79A5.docx</v>
      </c>
      <c r="S981" t="str">
        <f>HYPERLINK("https://docs.wto.org/imrd/directdoc.asp?DDFDocuments/u/G/TBTN16/TUR79A5.docx", "https://docs.wto.org/imrd/directdoc.asp?DDFDocuments/u/G/TBTN16/TUR79A5.docx")</f>
        <v>https://docs.wto.org/imrd/directdoc.asp?DDFDocuments/u/G/TBTN16/TUR79A5.docx</v>
      </c>
      <c r="T981" t="str">
        <f>HYPERLINK("https://docs.wto.org/imrd/directdoc.asp?DDFDocuments/v/G/TBTN16/TUR79A5.docx", "https://docs.wto.org/imrd/directdoc.asp?DDFDocuments/v/G/TBTN16/TUR79A5.docx")</f>
        <v>https://docs.wto.org/imrd/directdoc.asp?DDFDocuments/v/G/TBTN16/TUR79A5.docx</v>
      </c>
      <c r="U981" t="s">
        <v>64</v>
      </c>
      <c r="V981" t="s">
        <v>46</v>
      </c>
      <c r="W981" t="s">
        <v>46</v>
      </c>
      <c r="X981" t="s">
        <v>46</v>
      </c>
      <c r="Y981" t="s">
        <v>46</v>
      </c>
      <c r="Z981" t="s">
        <v>46</v>
      </c>
      <c r="AA981" t="s">
        <v>46</v>
      </c>
      <c r="AB981" s="2" t="s">
        <v>43</v>
      </c>
      <c r="AC981" t="s">
        <v>43</v>
      </c>
      <c r="AD981" t="s">
        <v>43</v>
      </c>
      <c r="AE981" t="s">
        <v>43</v>
      </c>
      <c r="AF981" t="s">
        <v>43</v>
      </c>
      <c r="AG981" t="s">
        <v>43</v>
      </c>
      <c r="AH981" s="2" t="s">
        <v>43</v>
      </c>
    </row>
    <row r="982" spans="1:34" ht="75">
      <c r="A982" s="6" t="s">
        <v>577</v>
      </c>
      <c r="B982" s="7">
        <v>46049</v>
      </c>
      <c r="C982" s="9" t="str">
        <f>HYPERLINK("https://eping.wto.org/en/Search?viewData= G/TBT/N/BDI/265/Add.3, G/TBT/N/KEN/1294/Add.3, G/TBT/N/RWA/700/Add.3, G/TBT/N/TZA/819/Add.3, G/TBT/N/UGA/1670/Add.3"," G/TBT/N/BDI/265/Add.3, G/TBT/N/KEN/1294/Add.3, G/TBT/N/RWA/700/Add.3, G/TBT/N/TZA/819/Add.3, G/TBT/N/UGA/1670/Add.3")</f>
        <v xml:space="preserve"> G/TBT/N/BDI/265/Add.3, G/TBT/N/KEN/1294/Add.3, G/TBT/N/RWA/700/Add.3, G/TBT/N/TZA/819/Add.3, G/TBT/N/UGA/1670/Add.3</v>
      </c>
      <c r="D982" s="8" t="s">
        <v>3923</v>
      </c>
      <c r="E982" s="8" t="s">
        <v>3924</v>
      </c>
      <c r="F982" s="8" t="s">
        <v>3905</v>
      </c>
      <c r="G982" s="8" t="s">
        <v>3906</v>
      </c>
      <c r="H982" s="8" t="s">
        <v>3907</v>
      </c>
      <c r="I982" s="8" t="s">
        <v>3908</v>
      </c>
      <c r="J982" s="8" t="s">
        <v>43</v>
      </c>
      <c r="K982" s="8" t="s">
        <v>43</v>
      </c>
      <c r="L982" s="6"/>
      <c r="M982" s="7" t="s">
        <v>43</v>
      </c>
      <c r="N982" s="7"/>
      <c r="O982" s="7"/>
      <c r="P982" s="6" t="s">
        <v>44</v>
      </c>
      <c r="Q982" s="6"/>
      <c r="R982" t="str">
        <f>HYPERLINK("https://docs.wto.org/imrd/directdoc.asp?DDFDocuments/t/G/TBTN22/BDI265A3.docx", "https://docs.wto.org/imrd/directdoc.asp?DDFDocuments/t/G/TBTN22/BDI265A3.docx")</f>
        <v>https://docs.wto.org/imrd/directdoc.asp?DDFDocuments/t/G/TBTN22/BDI265A3.docx</v>
      </c>
      <c r="S982" t="str">
        <f>HYPERLINK("https://docs.wto.org/imrd/directdoc.asp?DDFDocuments/u/G/TBTN22/BDI265A3.docx", "https://docs.wto.org/imrd/directdoc.asp?DDFDocuments/u/G/TBTN22/BDI265A3.docx")</f>
        <v>https://docs.wto.org/imrd/directdoc.asp?DDFDocuments/u/G/TBTN22/BDI265A3.docx</v>
      </c>
      <c r="T982" t="str">
        <f>HYPERLINK("https://docs.wto.org/imrd/directdoc.asp?DDFDocuments/v/G/TBTN22/BDI265A3.docx", "https://docs.wto.org/imrd/directdoc.asp?DDFDocuments/v/G/TBTN22/BDI265A3.docx")</f>
        <v>https://docs.wto.org/imrd/directdoc.asp?DDFDocuments/v/G/TBTN22/BDI265A3.docx</v>
      </c>
      <c r="U982" t="s">
        <v>64</v>
      </c>
      <c r="V982" t="s">
        <v>46</v>
      </c>
      <c r="W982" t="s">
        <v>64</v>
      </c>
      <c r="X982" t="s">
        <v>46</v>
      </c>
      <c r="Y982" t="s">
        <v>46</v>
      </c>
      <c r="Z982" t="s">
        <v>46</v>
      </c>
      <c r="AA982" t="s">
        <v>46</v>
      </c>
      <c r="AB982" s="2" t="s">
        <v>43</v>
      </c>
      <c r="AC982" t="s">
        <v>43</v>
      </c>
      <c r="AD982" t="s">
        <v>43</v>
      </c>
      <c r="AE982" t="s">
        <v>43</v>
      </c>
      <c r="AF982" t="s">
        <v>43</v>
      </c>
      <c r="AG982" t="s">
        <v>43</v>
      </c>
      <c r="AH982" s="2" t="s">
        <v>43</v>
      </c>
    </row>
    <row r="983" spans="1:34" ht="75">
      <c r="A983" s="6" t="s">
        <v>124</v>
      </c>
      <c r="B983" s="7">
        <v>46049</v>
      </c>
      <c r="C983" s="9" t="str">
        <f>HYPERLINK("https://eping.wto.org/en/Search?viewData= G/TBT/N/BDI/262/Add.3, G/TBT/N/KEN/1291/Add.3, G/TBT/N/RWA/697/Add.3, G/TBT/N/TZA/816/Add.3, G/TBT/N/UGA/1667/Add.3"," G/TBT/N/BDI/262/Add.3, G/TBT/N/KEN/1291/Add.3, G/TBT/N/RWA/697/Add.3, G/TBT/N/TZA/816/Add.3, G/TBT/N/UGA/1667/Add.3")</f>
        <v xml:space="preserve"> G/TBT/N/BDI/262/Add.3, G/TBT/N/KEN/1291/Add.3, G/TBT/N/RWA/697/Add.3, G/TBT/N/TZA/816/Add.3, G/TBT/N/UGA/1667/Add.3</v>
      </c>
      <c r="D983" s="8" t="s">
        <v>3915</v>
      </c>
      <c r="E983" s="8" t="s">
        <v>3916</v>
      </c>
      <c r="F983" s="8" t="s">
        <v>3905</v>
      </c>
      <c r="G983" s="8" t="s">
        <v>3906</v>
      </c>
      <c r="H983" s="8" t="s">
        <v>3907</v>
      </c>
      <c r="I983" s="8" t="s">
        <v>3908</v>
      </c>
      <c r="J983" s="8" t="s">
        <v>43</v>
      </c>
      <c r="K983" s="8" t="s">
        <v>43</v>
      </c>
      <c r="L983" s="6"/>
      <c r="M983" s="7" t="s">
        <v>43</v>
      </c>
      <c r="N983" s="7"/>
      <c r="O983" s="7"/>
      <c r="P983" s="6" t="s">
        <v>44</v>
      </c>
      <c r="Q983" s="6"/>
      <c r="R983" t="str">
        <f>HYPERLINK("https://docs.wto.org/imrd/directdoc.asp?DDFDocuments/t/G/TBTN22/BDI262A3.docx", "https://docs.wto.org/imrd/directdoc.asp?DDFDocuments/t/G/TBTN22/BDI262A3.docx")</f>
        <v>https://docs.wto.org/imrd/directdoc.asp?DDFDocuments/t/G/TBTN22/BDI262A3.docx</v>
      </c>
      <c r="S983" t="str">
        <f>HYPERLINK("https://docs.wto.org/imrd/directdoc.asp?DDFDocuments/u/G/TBTN22/BDI262A3.docx", "https://docs.wto.org/imrd/directdoc.asp?DDFDocuments/u/G/TBTN22/BDI262A3.docx")</f>
        <v>https://docs.wto.org/imrd/directdoc.asp?DDFDocuments/u/G/TBTN22/BDI262A3.docx</v>
      </c>
      <c r="T983" t="str">
        <f>HYPERLINK("https://docs.wto.org/imrd/directdoc.asp?DDFDocuments/v/G/TBTN22/BDI262A3.docx", "https://docs.wto.org/imrd/directdoc.asp?DDFDocuments/v/G/TBTN22/BDI262A3.docx")</f>
        <v>https://docs.wto.org/imrd/directdoc.asp?DDFDocuments/v/G/TBTN22/BDI262A3.docx</v>
      </c>
      <c r="U983" t="s">
        <v>64</v>
      </c>
      <c r="V983" t="s">
        <v>46</v>
      </c>
      <c r="W983" t="s">
        <v>64</v>
      </c>
      <c r="X983" t="s">
        <v>46</v>
      </c>
      <c r="Y983" t="s">
        <v>46</v>
      </c>
      <c r="Z983" t="s">
        <v>46</v>
      </c>
      <c r="AA983" t="s">
        <v>46</v>
      </c>
      <c r="AB983" s="2" t="s">
        <v>43</v>
      </c>
      <c r="AC983" t="s">
        <v>43</v>
      </c>
      <c r="AD983" t="s">
        <v>43</v>
      </c>
      <c r="AE983" t="s">
        <v>43</v>
      </c>
      <c r="AF983" t="s">
        <v>43</v>
      </c>
      <c r="AG983" t="s">
        <v>43</v>
      </c>
      <c r="AH983" s="2" t="s">
        <v>43</v>
      </c>
    </row>
    <row r="984" spans="1:34" ht="75">
      <c r="A984" s="6" t="s">
        <v>509</v>
      </c>
      <c r="B984" s="7">
        <v>46049</v>
      </c>
      <c r="C984" s="9" t="str">
        <f>HYPERLINK("https://eping.wto.org/en/Search?viewData= G/TBT/N/BDI/264/Add.3, G/TBT/N/KEN/1293/Add.3, G/TBT/N/RWA/699/Add.3, G/TBT/N/TZA/818/Add.3, G/TBT/N/UGA/1669/Add.3"," G/TBT/N/BDI/264/Add.3, G/TBT/N/KEN/1293/Add.3, G/TBT/N/RWA/699/Add.3, G/TBT/N/TZA/818/Add.3, G/TBT/N/UGA/1669/Add.3")</f>
        <v xml:space="preserve"> G/TBT/N/BDI/264/Add.3, G/TBT/N/KEN/1293/Add.3, G/TBT/N/RWA/699/Add.3, G/TBT/N/TZA/818/Add.3, G/TBT/N/UGA/1669/Add.3</v>
      </c>
      <c r="D984" s="8" t="s">
        <v>3925</v>
      </c>
      <c r="E984" s="8" t="s">
        <v>3926</v>
      </c>
      <c r="F984" s="8" t="s">
        <v>3905</v>
      </c>
      <c r="G984" s="8" t="s">
        <v>3906</v>
      </c>
      <c r="H984" s="8" t="s">
        <v>3907</v>
      </c>
      <c r="I984" s="8" t="s">
        <v>3908</v>
      </c>
      <c r="J984" s="8" t="s">
        <v>43</v>
      </c>
      <c r="K984" s="8" t="s">
        <v>43</v>
      </c>
      <c r="L984" s="6"/>
      <c r="M984" s="7" t="s">
        <v>43</v>
      </c>
      <c r="N984" s="7"/>
      <c r="O984" s="7"/>
      <c r="P984" s="6" t="s">
        <v>44</v>
      </c>
      <c r="Q984" s="6"/>
      <c r="R984" t="str">
        <f>HYPERLINK("https://docs.wto.org/imrd/directdoc.asp?DDFDocuments/t/G/TBTN22/BDI264A3.docx", "https://docs.wto.org/imrd/directdoc.asp?DDFDocuments/t/G/TBTN22/BDI264A3.docx")</f>
        <v>https://docs.wto.org/imrd/directdoc.asp?DDFDocuments/t/G/TBTN22/BDI264A3.docx</v>
      </c>
      <c r="S984" t="str">
        <f>HYPERLINK("https://docs.wto.org/imrd/directdoc.asp?DDFDocuments/u/G/TBTN22/BDI264A3.docx", "https://docs.wto.org/imrd/directdoc.asp?DDFDocuments/u/G/TBTN22/BDI264A3.docx")</f>
        <v>https://docs.wto.org/imrd/directdoc.asp?DDFDocuments/u/G/TBTN22/BDI264A3.docx</v>
      </c>
      <c r="T984" t="str">
        <f>HYPERLINK("https://docs.wto.org/imrd/directdoc.asp?DDFDocuments/v/G/TBTN22/BDI264A3.docx", "https://docs.wto.org/imrd/directdoc.asp?DDFDocuments/v/G/TBTN22/BDI264A3.docx")</f>
        <v>https://docs.wto.org/imrd/directdoc.asp?DDFDocuments/v/G/TBTN22/BDI264A3.docx</v>
      </c>
      <c r="U984" t="s">
        <v>64</v>
      </c>
      <c r="V984" t="s">
        <v>46</v>
      </c>
      <c r="W984" t="s">
        <v>64</v>
      </c>
      <c r="X984" t="s">
        <v>46</v>
      </c>
      <c r="Y984" t="s">
        <v>46</v>
      </c>
      <c r="Z984" t="s">
        <v>46</v>
      </c>
      <c r="AA984" t="s">
        <v>46</v>
      </c>
      <c r="AB984" s="2" t="s">
        <v>43</v>
      </c>
      <c r="AC984" t="s">
        <v>43</v>
      </c>
      <c r="AD984" t="s">
        <v>43</v>
      </c>
      <c r="AE984" t="s">
        <v>43</v>
      </c>
      <c r="AF984" t="s">
        <v>43</v>
      </c>
      <c r="AG984" t="s">
        <v>43</v>
      </c>
      <c r="AH984" s="2" t="s">
        <v>43</v>
      </c>
    </row>
    <row r="985" spans="1:34" ht="75">
      <c r="A985" s="6" t="s">
        <v>390</v>
      </c>
      <c r="B985" s="7">
        <v>46049</v>
      </c>
      <c r="C985" s="9" t="str">
        <f>HYPERLINK("https://eping.wto.org/en/Search?viewData= G/TBT/N/BDI/263/Add.3, G/TBT/N/KEN/1292/Add.3, G/TBT/N/RWA/698/Add.3, G/TBT/N/TZA/817/Add.3, G/TBT/N/UGA/1668/Add.3"," G/TBT/N/BDI/263/Add.3, G/TBT/N/KEN/1292/Add.3, G/TBT/N/RWA/698/Add.3, G/TBT/N/TZA/817/Add.3, G/TBT/N/UGA/1668/Add.3")</f>
        <v xml:space="preserve"> G/TBT/N/BDI/263/Add.3, G/TBT/N/KEN/1292/Add.3, G/TBT/N/RWA/698/Add.3, G/TBT/N/TZA/817/Add.3, G/TBT/N/UGA/1668/Add.3</v>
      </c>
      <c r="D985" s="8" t="s">
        <v>3912</v>
      </c>
      <c r="E985" s="8" t="s">
        <v>3913</v>
      </c>
      <c r="F985" s="8" t="s">
        <v>3905</v>
      </c>
      <c r="G985" s="8" t="s">
        <v>3906</v>
      </c>
      <c r="H985" s="8" t="s">
        <v>3907</v>
      </c>
      <c r="I985" s="8" t="s">
        <v>3911</v>
      </c>
      <c r="J985" s="8" t="s">
        <v>43</v>
      </c>
      <c r="K985" s="8" t="s">
        <v>43</v>
      </c>
      <c r="L985" s="6"/>
      <c r="M985" s="7" t="s">
        <v>43</v>
      </c>
      <c r="N985" s="7"/>
      <c r="O985" s="7"/>
      <c r="P985" s="6" t="s">
        <v>44</v>
      </c>
      <c r="Q985" s="6"/>
      <c r="R985" t="str">
        <f>HYPERLINK("https://docs.wto.org/imrd/directdoc.asp?DDFDocuments/t/G/TBTN22/BDI263A3.docx", "https://docs.wto.org/imrd/directdoc.asp?DDFDocuments/t/G/TBTN22/BDI263A3.docx")</f>
        <v>https://docs.wto.org/imrd/directdoc.asp?DDFDocuments/t/G/TBTN22/BDI263A3.docx</v>
      </c>
      <c r="S985" t="str">
        <f>HYPERLINK("https://docs.wto.org/imrd/directdoc.asp?DDFDocuments/u/G/TBTN22/BDI263A3.docx", "https://docs.wto.org/imrd/directdoc.asp?DDFDocuments/u/G/TBTN22/BDI263A3.docx")</f>
        <v>https://docs.wto.org/imrd/directdoc.asp?DDFDocuments/u/G/TBTN22/BDI263A3.docx</v>
      </c>
      <c r="T985" t="str">
        <f>HYPERLINK("https://docs.wto.org/imrd/directdoc.asp?DDFDocuments/v/G/TBTN22/BDI263A3.docx", "https://docs.wto.org/imrd/directdoc.asp?DDFDocuments/v/G/TBTN22/BDI263A3.docx")</f>
        <v>https://docs.wto.org/imrd/directdoc.asp?DDFDocuments/v/G/TBTN22/BDI263A3.docx</v>
      </c>
      <c r="U985" t="s">
        <v>64</v>
      </c>
      <c r="V985" t="s">
        <v>46</v>
      </c>
      <c r="W985" t="s">
        <v>64</v>
      </c>
      <c r="X985" t="s">
        <v>46</v>
      </c>
      <c r="Y985" t="s">
        <v>46</v>
      </c>
      <c r="Z985" t="s">
        <v>46</v>
      </c>
      <c r="AA985" t="s">
        <v>46</v>
      </c>
      <c r="AB985" s="2" t="s">
        <v>43</v>
      </c>
      <c r="AC985" t="s">
        <v>43</v>
      </c>
      <c r="AD985" t="s">
        <v>43</v>
      </c>
      <c r="AE985" t="s">
        <v>43</v>
      </c>
      <c r="AF985" t="s">
        <v>43</v>
      </c>
      <c r="AG985" t="s">
        <v>43</v>
      </c>
      <c r="AH985" s="2" t="s">
        <v>43</v>
      </c>
    </row>
    <row r="986" spans="1:34" ht="75">
      <c r="A986" s="6" t="s">
        <v>124</v>
      </c>
      <c r="B986" s="7">
        <v>46049</v>
      </c>
      <c r="C986" s="9" t="str">
        <f>HYPERLINK("https://eping.wto.org/en/Search?viewData= G/TBT/N/BDI/261/Add.3, G/TBT/N/KEN/1290/Add.3, G/TBT/N/RWA/696/Add.3, G/TBT/N/TZA/815/Add.3, G/TBT/N/UGA/1666/Add.3"," G/TBT/N/BDI/261/Add.3, G/TBT/N/KEN/1290/Add.3, G/TBT/N/RWA/696/Add.3, G/TBT/N/TZA/815/Add.3, G/TBT/N/UGA/1666/Add.3")</f>
        <v xml:space="preserve"> G/TBT/N/BDI/261/Add.3, G/TBT/N/KEN/1290/Add.3, G/TBT/N/RWA/696/Add.3, G/TBT/N/TZA/815/Add.3, G/TBT/N/UGA/1666/Add.3</v>
      </c>
      <c r="D986" s="8" t="s">
        <v>3909</v>
      </c>
      <c r="E986" s="8" t="s">
        <v>3910</v>
      </c>
      <c r="F986" s="8" t="s">
        <v>3905</v>
      </c>
      <c r="G986" s="8" t="s">
        <v>3906</v>
      </c>
      <c r="H986" s="8" t="s">
        <v>3907</v>
      </c>
      <c r="I986" s="8" t="s">
        <v>3911</v>
      </c>
      <c r="J986" s="8" t="s">
        <v>43</v>
      </c>
      <c r="K986" s="8" t="s">
        <v>43</v>
      </c>
      <c r="L986" s="6"/>
      <c r="M986" s="7" t="s">
        <v>43</v>
      </c>
      <c r="N986" s="7"/>
      <c r="O986" s="7"/>
      <c r="P986" s="6" t="s">
        <v>44</v>
      </c>
      <c r="Q986" s="6"/>
      <c r="R986" t="str">
        <f>HYPERLINK("https://docs.wto.org/imrd/directdoc.asp?DDFDocuments/t/G/TBTN22/BDI261A3.docx", "https://docs.wto.org/imrd/directdoc.asp?DDFDocuments/t/G/TBTN22/BDI261A3.docx")</f>
        <v>https://docs.wto.org/imrd/directdoc.asp?DDFDocuments/t/G/TBTN22/BDI261A3.docx</v>
      </c>
      <c r="S986" t="str">
        <f>HYPERLINK("https://docs.wto.org/imrd/directdoc.asp?DDFDocuments/u/G/TBTN22/BDI261A3.docx", "https://docs.wto.org/imrd/directdoc.asp?DDFDocuments/u/G/TBTN22/BDI261A3.docx")</f>
        <v>https://docs.wto.org/imrd/directdoc.asp?DDFDocuments/u/G/TBTN22/BDI261A3.docx</v>
      </c>
      <c r="T986" t="str">
        <f>HYPERLINK("https://docs.wto.org/imrd/directdoc.asp?DDFDocuments/v/G/TBTN22/BDI261A3.docx", "https://docs.wto.org/imrd/directdoc.asp?DDFDocuments/v/G/TBTN22/BDI261A3.docx")</f>
        <v>https://docs.wto.org/imrd/directdoc.asp?DDFDocuments/v/G/TBTN22/BDI261A3.docx</v>
      </c>
      <c r="U986" t="s">
        <v>64</v>
      </c>
      <c r="V986" t="s">
        <v>46</v>
      </c>
      <c r="W986" t="s">
        <v>64</v>
      </c>
      <c r="X986" t="s">
        <v>46</v>
      </c>
      <c r="Y986" t="s">
        <v>46</v>
      </c>
      <c r="Z986" t="s">
        <v>46</v>
      </c>
      <c r="AA986" t="s">
        <v>46</v>
      </c>
      <c r="AB986" s="2" t="s">
        <v>43</v>
      </c>
      <c r="AC986" t="s">
        <v>43</v>
      </c>
      <c r="AD986" t="s">
        <v>43</v>
      </c>
      <c r="AE986" t="s">
        <v>43</v>
      </c>
      <c r="AF986" t="s">
        <v>43</v>
      </c>
      <c r="AG986" t="s">
        <v>43</v>
      </c>
      <c r="AH986" s="2" t="s">
        <v>43</v>
      </c>
    </row>
    <row r="987" spans="1:34" ht="75">
      <c r="A987" s="6" t="s">
        <v>108</v>
      </c>
      <c r="B987" s="7">
        <v>46049</v>
      </c>
      <c r="C987" s="9" t="str">
        <f>HYPERLINK("https://eping.wto.org/en/Search?viewData= G/TBT/N/BDI/260/Add.2, G/TBT/N/KEN/1289/Add.2, G/TBT/N/RWA/695/Add.2, G/TBT/N/TZA/814/Add.2, G/TBT/N/UGA/1665/Add.2"," G/TBT/N/BDI/260/Add.2, G/TBT/N/KEN/1289/Add.2, G/TBT/N/RWA/695/Add.2, G/TBT/N/TZA/814/Add.2, G/TBT/N/UGA/1665/Add.2")</f>
        <v xml:space="preserve"> G/TBT/N/BDI/260/Add.2, G/TBT/N/KEN/1289/Add.2, G/TBT/N/RWA/695/Add.2, G/TBT/N/TZA/814/Add.2, G/TBT/N/UGA/1665/Add.2</v>
      </c>
      <c r="D987" s="8" t="s">
        <v>3903</v>
      </c>
      <c r="E987" s="8" t="s">
        <v>3904</v>
      </c>
      <c r="F987" s="8" t="s">
        <v>3905</v>
      </c>
      <c r="G987" s="8" t="s">
        <v>3906</v>
      </c>
      <c r="H987" s="8" t="s">
        <v>3907</v>
      </c>
      <c r="I987" s="8" t="s">
        <v>3908</v>
      </c>
      <c r="J987" s="8" t="s">
        <v>43</v>
      </c>
      <c r="K987" s="8" t="s">
        <v>43</v>
      </c>
      <c r="L987" s="6"/>
      <c r="M987" s="7" t="s">
        <v>43</v>
      </c>
      <c r="N987" s="7"/>
      <c r="O987" s="7"/>
      <c r="P987" s="6" t="s">
        <v>44</v>
      </c>
      <c r="Q987" s="6"/>
      <c r="R987" t="str">
        <f>HYPERLINK("https://docs.wto.org/imrd/directdoc.asp?DDFDocuments/t/G/TBTN22/BDI260A2.docx", "https://docs.wto.org/imrd/directdoc.asp?DDFDocuments/t/G/TBTN22/BDI260A2.docx")</f>
        <v>https://docs.wto.org/imrd/directdoc.asp?DDFDocuments/t/G/TBTN22/BDI260A2.docx</v>
      </c>
      <c r="S987" t="str">
        <f>HYPERLINK("https://docs.wto.org/imrd/directdoc.asp?DDFDocuments/u/G/TBTN22/BDI260A2.docx", "https://docs.wto.org/imrd/directdoc.asp?DDFDocuments/u/G/TBTN22/BDI260A2.docx")</f>
        <v>https://docs.wto.org/imrd/directdoc.asp?DDFDocuments/u/G/TBTN22/BDI260A2.docx</v>
      </c>
      <c r="T987" t="str">
        <f>HYPERLINK("https://docs.wto.org/imrd/directdoc.asp?DDFDocuments/v/G/TBTN22/BDI260A2.docx", "https://docs.wto.org/imrd/directdoc.asp?DDFDocuments/v/G/TBTN22/BDI260A2.docx")</f>
        <v>https://docs.wto.org/imrd/directdoc.asp?DDFDocuments/v/G/TBTN22/BDI260A2.docx</v>
      </c>
      <c r="U987" t="s">
        <v>64</v>
      </c>
      <c r="V987" t="s">
        <v>46</v>
      </c>
      <c r="W987" t="s">
        <v>64</v>
      </c>
      <c r="X987" t="s">
        <v>46</v>
      </c>
      <c r="Y987" t="s">
        <v>46</v>
      </c>
      <c r="Z987" t="s">
        <v>46</v>
      </c>
      <c r="AA987" t="s">
        <v>46</v>
      </c>
      <c r="AB987" s="2" t="s">
        <v>43</v>
      </c>
      <c r="AC987" t="s">
        <v>43</v>
      </c>
      <c r="AD987" t="s">
        <v>43</v>
      </c>
      <c r="AE987" t="s">
        <v>43</v>
      </c>
      <c r="AF987" t="s">
        <v>43</v>
      </c>
      <c r="AG987" t="s">
        <v>43</v>
      </c>
      <c r="AH987" s="2" t="s">
        <v>43</v>
      </c>
    </row>
    <row r="988" spans="1:34" ht="75">
      <c r="A988" s="6" t="s">
        <v>509</v>
      </c>
      <c r="B988" s="7">
        <v>46049</v>
      </c>
      <c r="C988" s="9" t="str">
        <f>HYPERLINK("https://eping.wto.org/en/Search?viewData= G/TBT/N/BDI/263/Add.3, G/TBT/N/KEN/1292/Add.3, G/TBT/N/RWA/698/Add.3, G/TBT/N/TZA/817/Add.3, G/TBT/N/UGA/1668/Add.3"," G/TBT/N/BDI/263/Add.3, G/TBT/N/KEN/1292/Add.3, G/TBT/N/RWA/698/Add.3, G/TBT/N/TZA/817/Add.3, G/TBT/N/UGA/1668/Add.3")</f>
        <v xml:space="preserve"> G/TBT/N/BDI/263/Add.3, G/TBT/N/KEN/1292/Add.3, G/TBT/N/RWA/698/Add.3, G/TBT/N/TZA/817/Add.3, G/TBT/N/UGA/1668/Add.3</v>
      </c>
      <c r="D988" s="8" t="s">
        <v>3912</v>
      </c>
      <c r="E988" s="8" t="s">
        <v>3913</v>
      </c>
      <c r="F988" s="8" t="s">
        <v>3905</v>
      </c>
      <c r="G988" s="8" t="s">
        <v>3906</v>
      </c>
      <c r="H988" s="8" t="s">
        <v>3907</v>
      </c>
      <c r="I988" s="8" t="s">
        <v>3914</v>
      </c>
      <c r="J988" s="8" t="s">
        <v>43</v>
      </c>
      <c r="K988" s="8" t="s">
        <v>43</v>
      </c>
      <c r="L988" s="6"/>
      <c r="M988" s="7" t="s">
        <v>43</v>
      </c>
      <c r="N988" s="7"/>
      <c r="O988" s="7"/>
      <c r="P988" s="6" t="s">
        <v>44</v>
      </c>
      <c r="Q988" s="6"/>
      <c r="R988" t="str">
        <f>HYPERLINK("https://docs.wto.org/imrd/directdoc.asp?DDFDocuments/t/G/TBTN22/BDI263A3.docx", "https://docs.wto.org/imrd/directdoc.asp?DDFDocuments/t/G/TBTN22/BDI263A3.docx")</f>
        <v>https://docs.wto.org/imrd/directdoc.asp?DDFDocuments/t/G/TBTN22/BDI263A3.docx</v>
      </c>
      <c r="S988" t="str">
        <f>HYPERLINK("https://docs.wto.org/imrd/directdoc.asp?DDFDocuments/u/G/TBTN22/BDI263A3.docx", "https://docs.wto.org/imrd/directdoc.asp?DDFDocuments/u/G/TBTN22/BDI263A3.docx")</f>
        <v>https://docs.wto.org/imrd/directdoc.asp?DDFDocuments/u/G/TBTN22/BDI263A3.docx</v>
      </c>
      <c r="T988" t="str">
        <f>HYPERLINK("https://docs.wto.org/imrd/directdoc.asp?DDFDocuments/v/G/TBTN22/BDI263A3.docx", "https://docs.wto.org/imrd/directdoc.asp?DDFDocuments/v/G/TBTN22/BDI263A3.docx")</f>
        <v>https://docs.wto.org/imrd/directdoc.asp?DDFDocuments/v/G/TBTN22/BDI263A3.docx</v>
      </c>
      <c r="U988" t="s">
        <v>64</v>
      </c>
      <c r="V988" t="s">
        <v>46</v>
      </c>
      <c r="W988" t="s">
        <v>64</v>
      </c>
      <c r="X988" t="s">
        <v>46</v>
      </c>
      <c r="Y988" t="s">
        <v>46</v>
      </c>
      <c r="Z988" t="s">
        <v>46</v>
      </c>
      <c r="AA988" t="s">
        <v>46</v>
      </c>
      <c r="AB988" s="2" t="s">
        <v>43</v>
      </c>
      <c r="AC988" t="s">
        <v>43</v>
      </c>
      <c r="AD988" t="s">
        <v>43</v>
      </c>
      <c r="AE988" t="s">
        <v>43</v>
      </c>
      <c r="AF988" t="s">
        <v>43</v>
      </c>
      <c r="AG988" t="s">
        <v>43</v>
      </c>
      <c r="AH988" s="2" t="s">
        <v>43</v>
      </c>
    </row>
    <row r="989" spans="1:34" ht="75">
      <c r="A989" s="6" t="s">
        <v>124</v>
      </c>
      <c r="B989" s="7">
        <v>46049</v>
      </c>
      <c r="C989" s="9" t="str">
        <f>HYPERLINK("https://eping.wto.org/en/Search?viewData= G/TBT/N/BDI/264/Add.3, G/TBT/N/KEN/1293/Add.3, G/TBT/N/RWA/699/Add.3, G/TBT/N/TZA/818/Add.3, G/TBT/N/UGA/1669/Add.3"," G/TBT/N/BDI/264/Add.3, G/TBT/N/KEN/1293/Add.3, G/TBT/N/RWA/699/Add.3, G/TBT/N/TZA/818/Add.3, G/TBT/N/UGA/1669/Add.3")</f>
        <v xml:space="preserve"> G/TBT/N/BDI/264/Add.3, G/TBT/N/KEN/1293/Add.3, G/TBT/N/RWA/699/Add.3, G/TBT/N/TZA/818/Add.3, G/TBT/N/UGA/1669/Add.3</v>
      </c>
      <c r="D989" s="8" t="s">
        <v>3925</v>
      </c>
      <c r="E989" s="8" t="s">
        <v>3926</v>
      </c>
      <c r="F989" s="8" t="s">
        <v>3905</v>
      </c>
      <c r="G989" s="8" t="s">
        <v>3906</v>
      </c>
      <c r="H989" s="8" t="s">
        <v>3907</v>
      </c>
      <c r="I989" s="8" t="s">
        <v>3908</v>
      </c>
      <c r="J989" s="8" t="s">
        <v>43</v>
      </c>
      <c r="K989" s="8" t="s">
        <v>43</v>
      </c>
      <c r="L989" s="6"/>
      <c r="M989" s="7" t="s">
        <v>43</v>
      </c>
      <c r="N989" s="7"/>
      <c r="O989" s="7"/>
      <c r="P989" s="6" t="s">
        <v>44</v>
      </c>
      <c r="Q989" s="6"/>
      <c r="R989" t="str">
        <f>HYPERLINK("https://docs.wto.org/imrd/directdoc.asp?DDFDocuments/t/G/TBTN22/BDI264A3.docx", "https://docs.wto.org/imrd/directdoc.asp?DDFDocuments/t/G/TBTN22/BDI264A3.docx")</f>
        <v>https://docs.wto.org/imrd/directdoc.asp?DDFDocuments/t/G/TBTN22/BDI264A3.docx</v>
      </c>
      <c r="S989" t="str">
        <f>HYPERLINK("https://docs.wto.org/imrd/directdoc.asp?DDFDocuments/u/G/TBTN22/BDI264A3.docx", "https://docs.wto.org/imrd/directdoc.asp?DDFDocuments/u/G/TBTN22/BDI264A3.docx")</f>
        <v>https://docs.wto.org/imrd/directdoc.asp?DDFDocuments/u/G/TBTN22/BDI264A3.docx</v>
      </c>
      <c r="T989" t="str">
        <f>HYPERLINK("https://docs.wto.org/imrd/directdoc.asp?DDFDocuments/v/G/TBTN22/BDI264A3.docx", "https://docs.wto.org/imrd/directdoc.asp?DDFDocuments/v/G/TBTN22/BDI264A3.docx")</f>
        <v>https://docs.wto.org/imrd/directdoc.asp?DDFDocuments/v/G/TBTN22/BDI264A3.docx</v>
      </c>
      <c r="U989" t="s">
        <v>64</v>
      </c>
      <c r="V989" t="s">
        <v>46</v>
      </c>
      <c r="W989" t="s">
        <v>64</v>
      </c>
      <c r="X989" t="s">
        <v>46</v>
      </c>
      <c r="Y989" t="s">
        <v>46</v>
      </c>
      <c r="Z989" t="s">
        <v>46</v>
      </c>
      <c r="AA989" t="s">
        <v>46</v>
      </c>
      <c r="AB989" s="2" t="s">
        <v>43</v>
      </c>
      <c r="AC989" t="s">
        <v>43</v>
      </c>
      <c r="AD989" t="s">
        <v>43</v>
      </c>
      <c r="AE989" t="s">
        <v>43</v>
      </c>
      <c r="AF989" t="s">
        <v>43</v>
      </c>
      <c r="AG989" t="s">
        <v>43</v>
      </c>
      <c r="AH989" s="2" t="s">
        <v>43</v>
      </c>
    </row>
    <row r="990" spans="1:34" ht="75">
      <c r="A990" s="6" t="s">
        <v>390</v>
      </c>
      <c r="B990" s="7">
        <v>46049</v>
      </c>
      <c r="C990" s="9" t="str">
        <f>HYPERLINK("https://eping.wto.org/en/Search?viewData= G/TBT/N/BDI/265/Add.3, G/TBT/N/KEN/1294/Add.3, G/TBT/N/RWA/700/Add.3, G/TBT/N/TZA/819/Add.3, G/TBT/N/UGA/1670/Add.3"," G/TBT/N/BDI/265/Add.3, G/TBT/N/KEN/1294/Add.3, G/TBT/N/RWA/700/Add.3, G/TBT/N/TZA/819/Add.3, G/TBT/N/UGA/1670/Add.3")</f>
        <v xml:space="preserve"> G/TBT/N/BDI/265/Add.3, G/TBT/N/KEN/1294/Add.3, G/TBT/N/RWA/700/Add.3, G/TBT/N/TZA/819/Add.3, G/TBT/N/UGA/1670/Add.3</v>
      </c>
      <c r="D990" s="8" t="s">
        <v>3923</v>
      </c>
      <c r="E990" s="8" t="s">
        <v>3924</v>
      </c>
      <c r="F990" s="8" t="s">
        <v>3905</v>
      </c>
      <c r="G990" s="8" t="s">
        <v>3906</v>
      </c>
      <c r="H990" s="8" t="s">
        <v>3907</v>
      </c>
      <c r="I990" s="8" t="s">
        <v>2042</v>
      </c>
      <c r="J990" s="8" t="s">
        <v>43</v>
      </c>
      <c r="K990" s="8" t="s">
        <v>43</v>
      </c>
      <c r="L990" s="6"/>
      <c r="M990" s="7" t="s">
        <v>43</v>
      </c>
      <c r="N990" s="7"/>
      <c r="O990" s="7"/>
      <c r="P990" s="6" t="s">
        <v>44</v>
      </c>
      <c r="Q990" s="6"/>
      <c r="R990" t="str">
        <f>HYPERLINK("https://docs.wto.org/imrd/directdoc.asp?DDFDocuments/t/G/TBTN22/BDI265A3.docx", "https://docs.wto.org/imrd/directdoc.asp?DDFDocuments/t/G/TBTN22/BDI265A3.docx")</f>
        <v>https://docs.wto.org/imrd/directdoc.asp?DDFDocuments/t/G/TBTN22/BDI265A3.docx</v>
      </c>
      <c r="S990" t="str">
        <f>HYPERLINK("https://docs.wto.org/imrd/directdoc.asp?DDFDocuments/u/G/TBTN22/BDI265A3.docx", "https://docs.wto.org/imrd/directdoc.asp?DDFDocuments/u/G/TBTN22/BDI265A3.docx")</f>
        <v>https://docs.wto.org/imrd/directdoc.asp?DDFDocuments/u/G/TBTN22/BDI265A3.docx</v>
      </c>
      <c r="T990" t="str">
        <f>HYPERLINK("https://docs.wto.org/imrd/directdoc.asp?DDFDocuments/v/G/TBTN22/BDI265A3.docx", "https://docs.wto.org/imrd/directdoc.asp?DDFDocuments/v/G/TBTN22/BDI265A3.docx")</f>
        <v>https://docs.wto.org/imrd/directdoc.asp?DDFDocuments/v/G/TBTN22/BDI265A3.docx</v>
      </c>
      <c r="U990" t="s">
        <v>64</v>
      </c>
      <c r="V990" t="s">
        <v>46</v>
      </c>
      <c r="W990" t="s">
        <v>64</v>
      </c>
      <c r="X990" t="s">
        <v>46</v>
      </c>
      <c r="Y990" t="s">
        <v>46</v>
      </c>
      <c r="Z990" t="s">
        <v>46</v>
      </c>
      <c r="AA990" t="s">
        <v>46</v>
      </c>
      <c r="AB990" s="2" t="s">
        <v>43</v>
      </c>
      <c r="AC990" t="s">
        <v>43</v>
      </c>
      <c r="AD990" t="s">
        <v>43</v>
      </c>
      <c r="AE990" t="s">
        <v>43</v>
      </c>
      <c r="AF990" t="s">
        <v>43</v>
      </c>
      <c r="AG990" t="s">
        <v>43</v>
      </c>
      <c r="AH990" s="2" t="s">
        <v>43</v>
      </c>
    </row>
    <row r="991" spans="1:34" ht="75">
      <c r="A991" s="6" t="s">
        <v>577</v>
      </c>
      <c r="B991" s="7">
        <v>46049</v>
      </c>
      <c r="C991" s="9" t="str">
        <f>HYPERLINK("https://eping.wto.org/en/Search?viewData= G/TBT/N/BDI/262/Add.3, G/TBT/N/KEN/1291/Add.3, G/TBT/N/RWA/697/Add.3, G/TBT/N/TZA/816/Add.3, G/TBT/N/UGA/1667/Add.3"," G/TBT/N/BDI/262/Add.3, G/TBT/N/KEN/1291/Add.3, G/TBT/N/RWA/697/Add.3, G/TBT/N/TZA/816/Add.3, G/TBT/N/UGA/1667/Add.3")</f>
        <v xml:space="preserve"> G/TBT/N/BDI/262/Add.3, G/TBT/N/KEN/1291/Add.3, G/TBT/N/RWA/697/Add.3, G/TBT/N/TZA/816/Add.3, G/TBT/N/UGA/1667/Add.3</v>
      </c>
      <c r="D991" s="8" t="s">
        <v>3915</v>
      </c>
      <c r="E991" s="8" t="s">
        <v>3916</v>
      </c>
      <c r="F991" s="8" t="s">
        <v>3905</v>
      </c>
      <c r="G991" s="8" t="s">
        <v>3906</v>
      </c>
      <c r="H991" s="8" t="s">
        <v>3907</v>
      </c>
      <c r="I991" s="8" t="s">
        <v>3908</v>
      </c>
      <c r="J991" s="8" t="s">
        <v>43</v>
      </c>
      <c r="K991" s="8" t="s">
        <v>43</v>
      </c>
      <c r="L991" s="6"/>
      <c r="M991" s="7" t="s">
        <v>43</v>
      </c>
      <c r="N991" s="7"/>
      <c r="O991" s="7"/>
      <c r="P991" s="6" t="s">
        <v>44</v>
      </c>
      <c r="Q991" s="6"/>
      <c r="R991" t="str">
        <f>HYPERLINK("https://docs.wto.org/imrd/directdoc.asp?DDFDocuments/t/G/TBTN22/BDI262A3.docx", "https://docs.wto.org/imrd/directdoc.asp?DDFDocuments/t/G/TBTN22/BDI262A3.docx")</f>
        <v>https://docs.wto.org/imrd/directdoc.asp?DDFDocuments/t/G/TBTN22/BDI262A3.docx</v>
      </c>
      <c r="S991" t="str">
        <f>HYPERLINK("https://docs.wto.org/imrd/directdoc.asp?DDFDocuments/u/G/TBTN22/BDI262A3.docx", "https://docs.wto.org/imrd/directdoc.asp?DDFDocuments/u/G/TBTN22/BDI262A3.docx")</f>
        <v>https://docs.wto.org/imrd/directdoc.asp?DDFDocuments/u/G/TBTN22/BDI262A3.docx</v>
      </c>
      <c r="T991" t="str">
        <f>HYPERLINK("https://docs.wto.org/imrd/directdoc.asp?DDFDocuments/v/G/TBTN22/BDI262A3.docx", "https://docs.wto.org/imrd/directdoc.asp?DDFDocuments/v/G/TBTN22/BDI262A3.docx")</f>
        <v>https://docs.wto.org/imrd/directdoc.asp?DDFDocuments/v/G/TBTN22/BDI262A3.docx</v>
      </c>
      <c r="U991" t="s">
        <v>64</v>
      </c>
      <c r="V991" t="s">
        <v>46</v>
      </c>
      <c r="W991" t="s">
        <v>64</v>
      </c>
      <c r="X991" t="s">
        <v>46</v>
      </c>
      <c r="Y991" t="s">
        <v>46</v>
      </c>
      <c r="Z991" t="s">
        <v>46</v>
      </c>
      <c r="AA991" t="s">
        <v>46</v>
      </c>
      <c r="AB991" s="2" t="s">
        <v>43</v>
      </c>
      <c r="AC991" t="s">
        <v>43</v>
      </c>
      <c r="AD991" t="s">
        <v>43</v>
      </c>
      <c r="AE991" t="s">
        <v>43</v>
      </c>
      <c r="AF991" t="s">
        <v>43</v>
      </c>
      <c r="AG991" t="s">
        <v>43</v>
      </c>
      <c r="AH991" s="2" t="s">
        <v>43</v>
      </c>
    </row>
    <row r="992" spans="1:34" ht="75">
      <c r="A992" s="6" t="s">
        <v>390</v>
      </c>
      <c r="B992" s="7">
        <v>46049</v>
      </c>
      <c r="C992" s="9" t="str">
        <f>HYPERLINK("https://eping.wto.org/en/Search?viewData= G/TBT/N/BDI/260/Add.2, G/TBT/N/KEN/1289/Add.2, G/TBT/N/RWA/695/Add.2, G/TBT/N/TZA/814/Add.2, G/TBT/N/UGA/1665/Add.2"," G/TBT/N/BDI/260/Add.2, G/TBT/N/KEN/1289/Add.2, G/TBT/N/RWA/695/Add.2, G/TBT/N/TZA/814/Add.2, G/TBT/N/UGA/1665/Add.2")</f>
        <v xml:space="preserve"> G/TBT/N/BDI/260/Add.2, G/TBT/N/KEN/1289/Add.2, G/TBT/N/RWA/695/Add.2, G/TBT/N/TZA/814/Add.2, G/TBT/N/UGA/1665/Add.2</v>
      </c>
      <c r="D992" s="8" t="s">
        <v>3903</v>
      </c>
      <c r="E992" s="8" t="s">
        <v>3904</v>
      </c>
      <c r="F992" s="8" t="s">
        <v>3905</v>
      </c>
      <c r="G992" s="8" t="s">
        <v>3906</v>
      </c>
      <c r="H992" s="8" t="s">
        <v>3907</v>
      </c>
      <c r="I992" s="8" t="s">
        <v>2042</v>
      </c>
      <c r="J992" s="8" t="s">
        <v>43</v>
      </c>
      <c r="K992" s="8" t="s">
        <v>43</v>
      </c>
      <c r="L992" s="6"/>
      <c r="M992" s="7" t="s">
        <v>43</v>
      </c>
      <c r="N992" s="7"/>
      <c r="O992" s="7"/>
      <c r="P992" s="6" t="s">
        <v>44</v>
      </c>
      <c r="Q992" s="6"/>
      <c r="R992" t="str">
        <f>HYPERLINK("https://docs.wto.org/imrd/directdoc.asp?DDFDocuments/t/G/TBTN22/BDI260A2.docx", "https://docs.wto.org/imrd/directdoc.asp?DDFDocuments/t/G/TBTN22/BDI260A2.docx")</f>
        <v>https://docs.wto.org/imrd/directdoc.asp?DDFDocuments/t/G/TBTN22/BDI260A2.docx</v>
      </c>
      <c r="S992" t="str">
        <f>HYPERLINK("https://docs.wto.org/imrd/directdoc.asp?DDFDocuments/u/G/TBTN22/BDI260A2.docx", "https://docs.wto.org/imrd/directdoc.asp?DDFDocuments/u/G/TBTN22/BDI260A2.docx")</f>
        <v>https://docs.wto.org/imrd/directdoc.asp?DDFDocuments/u/G/TBTN22/BDI260A2.docx</v>
      </c>
      <c r="T992" t="str">
        <f>HYPERLINK("https://docs.wto.org/imrd/directdoc.asp?DDFDocuments/v/G/TBTN22/BDI260A2.docx", "https://docs.wto.org/imrd/directdoc.asp?DDFDocuments/v/G/TBTN22/BDI260A2.docx")</f>
        <v>https://docs.wto.org/imrd/directdoc.asp?DDFDocuments/v/G/TBTN22/BDI260A2.docx</v>
      </c>
      <c r="U992" t="s">
        <v>64</v>
      </c>
      <c r="V992" t="s">
        <v>46</v>
      </c>
      <c r="W992" t="s">
        <v>64</v>
      </c>
      <c r="X992" t="s">
        <v>46</v>
      </c>
      <c r="Y992" t="s">
        <v>46</v>
      </c>
      <c r="Z992" t="s">
        <v>46</v>
      </c>
      <c r="AA992" t="s">
        <v>46</v>
      </c>
      <c r="AB992" s="2" t="s">
        <v>43</v>
      </c>
      <c r="AC992" t="s">
        <v>43</v>
      </c>
      <c r="AD992" t="s">
        <v>43</v>
      </c>
      <c r="AE992" t="s">
        <v>43</v>
      </c>
      <c r="AF992" t="s">
        <v>43</v>
      </c>
      <c r="AG992" t="s">
        <v>43</v>
      </c>
      <c r="AH992" s="2" t="s">
        <v>43</v>
      </c>
    </row>
    <row r="993" spans="1:34" ht="75">
      <c r="A993" s="6" t="s">
        <v>577</v>
      </c>
      <c r="B993" s="7">
        <v>46049</v>
      </c>
      <c r="C993" s="9" t="str">
        <f>HYPERLINK("https://eping.wto.org/en/Search?viewData= G/TBT/N/BDI/260/Add.2, G/TBT/N/KEN/1289/Add.2, G/TBT/N/RWA/695/Add.2, G/TBT/N/TZA/814/Add.2, G/TBT/N/UGA/1665/Add.2"," G/TBT/N/BDI/260/Add.2, G/TBT/N/KEN/1289/Add.2, G/TBT/N/RWA/695/Add.2, G/TBT/N/TZA/814/Add.2, G/TBT/N/UGA/1665/Add.2")</f>
        <v xml:space="preserve"> G/TBT/N/BDI/260/Add.2, G/TBT/N/KEN/1289/Add.2, G/TBT/N/RWA/695/Add.2, G/TBT/N/TZA/814/Add.2, G/TBT/N/UGA/1665/Add.2</v>
      </c>
      <c r="D993" s="8" t="s">
        <v>3903</v>
      </c>
      <c r="E993" s="8" t="s">
        <v>3904</v>
      </c>
      <c r="F993" s="8" t="s">
        <v>3905</v>
      </c>
      <c r="G993" s="8" t="s">
        <v>3906</v>
      </c>
      <c r="H993" s="8" t="s">
        <v>3907</v>
      </c>
      <c r="I993" s="8" t="s">
        <v>3908</v>
      </c>
      <c r="J993" s="8" t="s">
        <v>43</v>
      </c>
      <c r="K993" s="8" t="s">
        <v>43</v>
      </c>
      <c r="L993" s="6"/>
      <c r="M993" s="7" t="s">
        <v>43</v>
      </c>
      <c r="N993" s="7"/>
      <c r="O993" s="7"/>
      <c r="P993" s="6" t="s">
        <v>44</v>
      </c>
      <c r="Q993" s="6"/>
      <c r="R993" t="str">
        <f>HYPERLINK("https://docs.wto.org/imrd/directdoc.asp?DDFDocuments/t/G/TBTN22/BDI260A2.docx", "https://docs.wto.org/imrd/directdoc.asp?DDFDocuments/t/G/TBTN22/BDI260A2.docx")</f>
        <v>https://docs.wto.org/imrd/directdoc.asp?DDFDocuments/t/G/TBTN22/BDI260A2.docx</v>
      </c>
      <c r="S993" t="str">
        <f>HYPERLINK("https://docs.wto.org/imrd/directdoc.asp?DDFDocuments/u/G/TBTN22/BDI260A2.docx", "https://docs.wto.org/imrd/directdoc.asp?DDFDocuments/u/G/TBTN22/BDI260A2.docx")</f>
        <v>https://docs.wto.org/imrd/directdoc.asp?DDFDocuments/u/G/TBTN22/BDI260A2.docx</v>
      </c>
      <c r="T993" t="str">
        <f>HYPERLINK("https://docs.wto.org/imrd/directdoc.asp?DDFDocuments/v/G/TBTN22/BDI260A2.docx", "https://docs.wto.org/imrd/directdoc.asp?DDFDocuments/v/G/TBTN22/BDI260A2.docx")</f>
        <v>https://docs.wto.org/imrd/directdoc.asp?DDFDocuments/v/G/TBTN22/BDI260A2.docx</v>
      </c>
      <c r="U993" t="s">
        <v>64</v>
      </c>
      <c r="V993" t="s">
        <v>46</v>
      </c>
      <c r="W993" t="s">
        <v>64</v>
      </c>
      <c r="X993" t="s">
        <v>46</v>
      </c>
      <c r="Y993" t="s">
        <v>46</v>
      </c>
      <c r="Z993" t="s">
        <v>46</v>
      </c>
      <c r="AA993" t="s">
        <v>46</v>
      </c>
      <c r="AB993" s="2" t="s">
        <v>43</v>
      </c>
      <c r="AC993" t="s">
        <v>43</v>
      </c>
      <c r="AD993" t="s">
        <v>43</v>
      </c>
      <c r="AE993" t="s">
        <v>43</v>
      </c>
      <c r="AF993" t="s">
        <v>43</v>
      </c>
      <c r="AG993" t="s">
        <v>43</v>
      </c>
      <c r="AH993" s="2" t="s">
        <v>43</v>
      </c>
    </row>
    <row r="994" spans="1:34" ht="75">
      <c r="A994" s="6" t="s">
        <v>108</v>
      </c>
      <c r="B994" s="7">
        <v>46049</v>
      </c>
      <c r="C994" s="9" t="str">
        <f>HYPERLINK("https://eping.wto.org/en/Search?viewData= G/TBT/N/BDI/261/Add.3, G/TBT/N/KEN/1290/Add.3, G/TBT/N/RWA/696/Add.3, G/TBT/N/TZA/815/Add.3, G/TBT/N/UGA/1666/Add.3"," G/TBT/N/BDI/261/Add.3, G/TBT/N/KEN/1290/Add.3, G/TBT/N/RWA/696/Add.3, G/TBT/N/TZA/815/Add.3, G/TBT/N/UGA/1666/Add.3")</f>
        <v xml:space="preserve"> G/TBT/N/BDI/261/Add.3, G/TBT/N/KEN/1290/Add.3, G/TBT/N/RWA/696/Add.3, G/TBT/N/TZA/815/Add.3, G/TBT/N/UGA/1666/Add.3</v>
      </c>
      <c r="D994" s="8" t="s">
        <v>3909</v>
      </c>
      <c r="E994" s="8" t="s">
        <v>3910</v>
      </c>
      <c r="F994" s="8" t="s">
        <v>3905</v>
      </c>
      <c r="G994" s="8" t="s">
        <v>3906</v>
      </c>
      <c r="H994" s="8" t="s">
        <v>3907</v>
      </c>
      <c r="I994" s="8" t="s">
        <v>3911</v>
      </c>
      <c r="J994" s="8" t="s">
        <v>43</v>
      </c>
      <c r="K994" s="8" t="s">
        <v>43</v>
      </c>
      <c r="L994" s="6"/>
      <c r="M994" s="7" t="s">
        <v>43</v>
      </c>
      <c r="N994" s="7"/>
      <c r="O994" s="7"/>
      <c r="P994" s="6" t="s">
        <v>44</v>
      </c>
      <c r="Q994" s="6"/>
      <c r="R994" t="str">
        <f>HYPERLINK("https://docs.wto.org/imrd/directdoc.asp?DDFDocuments/t/G/TBTN22/BDI261A3.docx", "https://docs.wto.org/imrd/directdoc.asp?DDFDocuments/t/G/TBTN22/BDI261A3.docx")</f>
        <v>https://docs.wto.org/imrd/directdoc.asp?DDFDocuments/t/G/TBTN22/BDI261A3.docx</v>
      </c>
      <c r="S994" t="str">
        <f>HYPERLINK("https://docs.wto.org/imrd/directdoc.asp?DDFDocuments/u/G/TBTN22/BDI261A3.docx", "https://docs.wto.org/imrd/directdoc.asp?DDFDocuments/u/G/TBTN22/BDI261A3.docx")</f>
        <v>https://docs.wto.org/imrd/directdoc.asp?DDFDocuments/u/G/TBTN22/BDI261A3.docx</v>
      </c>
      <c r="T994" t="str">
        <f>HYPERLINK("https://docs.wto.org/imrd/directdoc.asp?DDFDocuments/v/G/TBTN22/BDI261A3.docx", "https://docs.wto.org/imrd/directdoc.asp?DDFDocuments/v/G/TBTN22/BDI261A3.docx")</f>
        <v>https://docs.wto.org/imrd/directdoc.asp?DDFDocuments/v/G/TBTN22/BDI261A3.docx</v>
      </c>
      <c r="U994" t="s">
        <v>64</v>
      </c>
      <c r="V994" t="s">
        <v>46</v>
      </c>
      <c r="W994" t="s">
        <v>64</v>
      </c>
      <c r="X994" t="s">
        <v>46</v>
      </c>
      <c r="Y994" t="s">
        <v>46</v>
      </c>
      <c r="Z994" t="s">
        <v>46</v>
      </c>
      <c r="AA994" t="s">
        <v>46</v>
      </c>
      <c r="AB994" s="2" t="s">
        <v>43</v>
      </c>
      <c r="AC994" t="s">
        <v>43</v>
      </c>
      <c r="AD994" t="s">
        <v>43</v>
      </c>
      <c r="AE994" t="s">
        <v>43</v>
      </c>
      <c r="AF994" t="s">
        <v>43</v>
      </c>
      <c r="AG994" t="s">
        <v>43</v>
      </c>
      <c r="AH994" s="2" t="s">
        <v>43</v>
      </c>
    </row>
    <row r="995" spans="1:34" ht="75">
      <c r="A995" s="6" t="s">
        <v>577</v>
      </c>
      <c r="B995" s="7">
        <v>46049</v>
      </c>
      <c r="C995" s="9" t="str">
        <f>HYPERLINK("https://eping.wto.org/en/Search?viewData= G/TBT/N/BDI/264/Add.3, G/TBT/N/KEN/1293/Add.3, G/TBT/N/RWA/699/Add.3, G/TBT/N/TZA/818/Add.3, G/TBT/N/UGA/1669/Add.3"," G/TBT/N/BDI/264/Add.3, G/TBT/N/KEN/1293/Add.3, G/TBT/N/RWA/699/Add.3, G/TBT/N/TZA/818/Add.3, G/TBT/N/UGA/1669/Add.3")</f>
        <v xml:space="preserve"> G/TBT/N/BDI/264/Add.3, G/TBT/N/KEN/1293/Add.3, G/TBT/N/RWA/699/Add.3, G/TBT/N/TZA/818/Add.3, G/TBT/N/UGA/1669/Add.3</v>
      </c>
      <c r="D995" s="8" t="s">
        <v>3925</v>
      </c>
      <c r="E995" s="8" t="s">
        <v>3926</v>
      </c>
      <c r="F995" s="8" t="s">
        <v>3905</v>
      </c>
      <c r="G995" s="8" t="s">
        <v>3906</v>
      </c>
      <c r="H995" s="8" t="s">
        <v>3907</v>
      </c>
      <c r="I995" s="8" t="s">
        <v>3908</v>
      </c>
      <c r="J995" s="8" t="s">
        <v>43</v>
      </c>
      <c r="K995" s="8" t="s">
        <v>43</v>
      </c>
      <c r="L995" s="6"/>
      <c r="M995" s="7" t="s">
        <v>43</v>
      </c>
      <c r="N995" s="7"/>
      <c r="O995" s="7"/>
      <c r="P995" s="6" t="s">
        <v>44</v>
      </c>
      <c r="Q995" s="6"/>
      <c r="R995" t="str">
        <f>HYPERLINK("https://docs.wto.org/imrd/directdoc.asp?DDFDocuments/t/G/TBTN22/BDI264A3.docx", "https://docs.wto.org/imrd/directdoc.asp?DDFDocuments/t/G/TBTN22/BDI264A3.docx")</f>
        <v>https://docs.wto.org/imrd/directdoc.asp?DDFDocuments/t/G/TBTN22/BDI264A3.docx</v>
      </c>
      <c r="S995" t="str">
        <f>HYPERLINK("https://docs.wto.org/imrd/directdoc.asp?DDFDocuments/u/G/TBTN22/BDI264A3.docx", "https://docs.wto.org/imrd/directdoc.asp?DDFDocuments/u/G/TBTN22/BDI264A3.docx")</f>
        <v>https://docs.wto.org/imrd/directdoc.asp?DDFDocuments/u/G/TBTN22/BDI264A3.docx</v>
      </c>
      <c r="T995" t="str">
        <f>HYPERLINK("https://docs.wto.org/imrd/directdoc.asp?DDFDocuments/v/G/TBTN22/BDI264A3.docx", "https://docs.wto.org/imrd/directdoc.asp?DDFDocuments/v/G/TBTN22/BDI264A3.docx")</f>
        <v>https://docs.wto.org/imrd/directdoc.asp?DDFDocuments/v/G/TBTN22/BDI264A3.docx</v>
      </c>
      <c r="U995" t="s">
        <v>64</v>
      </c>
      <c r="V995" t="s">
        <v>46</v>
      </c>
      <c r="W995" t="s">
        <v>64</v>
      </c>
      <c r="X995" t="s">
        <v>46</v>
      </c>
      <c r="Y995" t="s">
        <v>46</v>
      </c>
      <c r="Z995" t="s">
        <v>46</v>
      </c>
      <c r="AA995" t="s">
        <v>46</v>
      </c>
      <c r="AB995" s="2" t="s">
        <v>43</v>
      </c>
      <c r="AC995" t="s">
        <v>43</v>
      </c>
      <c r="AD995" t="s">
        <v>43</v>
      </c>
      <c r="AE995" t="s">
        <v>43</v>
      </c>
      <c r="AF995" t="s">
        <v>43</v>
      </c>
      <c r="AG995" t="s">
        <v>43</v>
      </c>
      <c r="AH995" s="2" t="s">
        <v>43</v>
      </c>
    </row>
    <row r="996" spans="1:34" ht="75">
      <c r="A996" s="6" t="s">
        <v>124</v>
      </c>
      <c r="B996" s="7">
        <v>46049</v>
      </c>
      <c r="C996" s="9" t="str">
        <f>HYPERLINK("https://eping.wto.org/en/Search?viewData= G/TBT/N/BDI/265/Add.3, G/TBT/N/KEN/1294/Add.3, G/TBT/N/RWA/700/Add.3, G/TBT/N/TZA/819/Add.3, G/TBT/N/UGA/1670/Add.3"," G/TBT/N/BDI/265/Add.3, G/TBT/N/KEN/1294/Add.3, G/TBT/N/RWA/700/Add.3, G/TBT/N/TZA/819/Add.3, G/TBT/N/UGA/1670/Add.3")</f>
        <v xml:space="preserve"> G/TBT/N/BDI/265/Add.3, G/TBT/N/KEN/1294/Add.3, G/TBT/N/RWA/700/Add.3, G/TBT/N/TZA/819/Add.3, G/TBT/N/UGA/1670/Add.3</v>
      </c>
      <c r="D996" s="8" t="s">
        <v>3923</v>
      </c>
      <c r="E996" s="8" t="s">
        <v>3924</v>
      </c>
      <c r="F996" s="8" t="s">
        <v>3905</v>
      </c>
      <c r="G996" s="8" t="s">
        <v>3906</v>
      </c>
      <c r="H996" s="8" t="s">
        <v>3907</v>
      </c>
      <c r="I996" s="8" t="s">
        <v>3908</v>
      </c>
      <c r="J996" s="8" t="s">
        <v>43</v>
      </c>
      <c r="K996" s="8" t="s">
        <v>43</v>
      </c>
      <c r="L996" s="6"/>
      <c r="M996" s="7" t="s">
        <v>43</v>
      </c>
      <c r="N996" s="7"/>
      <c r="O996" s="7"/>
      <c r="P996" s="6" t="s">
        <v>44</v>
      </c>
      <c r="Q996" s="6"/>
      <c r="R996" t="str">
        <f>HYPERLINK("https://docs.wto.org/imrd/directdoc.asp?DDFDocuments/t/G/TBTN22/BDI265A3.docx", "https://docs.wto.org/imrd/directdoc.asp?DDFDocuments/t/G/TBTN22/BDI265A3.docx")</f>
        <v>https://docs.wto.org/imrd/directdoc.asp?DDFDocuments/t/G/TBTN22/BDI265A3.docx</v>
      </c>
      <c r="S996" t="str">
        <f>HYPERLINK("https://docs.wto.org/imrd/directdoc.asp?DDFDocuments/u/G/TBTN22/BDI265A3.docx", "https://docs.wto.org/imrd/directdoc.asp?DDFDocuments/u/G/TBTN22/BDI265A3.docx")</f>
        <v>https://docs.wto.org/imrd/directdoc.asp?DDFDocuments/u/G/TBTN22/BDI265A3.docx</v>
      </c>
      <c r="T996" t="str">
        <f>HYPERLINK("https://docs.wto.org/imrd/directdoc.asp?DDFDocuments/v/G/TBTN22/BDI265A3.docx", "https://docs.wto.org/imrd/directdoc.asp?DDFDocuments/v/G/TBTN22/BDI265A3.docx")</f>
        <v>https://docs.wto.org/imrd/directdoc.asp?DDFDocuments/v/G/TBTN22/BDI265A3.docx</v>
      </c>
      <c r="U996" t="s">
        <v>64</v>
      </c>
      <c r="V996" t="s">
        <v>46</v>
      </c>
      <c r="W996" t="s">
        <v>64</v>
      </c>
      <c r="X996" t="s">
        <v>46</v>
      </c>
      <c r="Y996" t="s">
        <v>46</v>
      </c>
      <c r="Z996" t="s">
        <v>46</v>
      </c>
      <c r="AA996" t="s">
        <v>46</v>
      </c>
      <c r="AB996" s="2" t="s">
        <v>43</v>
      </c>
      <c r="AC996" t="s">
        <v>43</v>
      </c>
      <c r="AD996" t="s">
        <v>43</v>
      </c>
      <c r="AE996" t="s">
        <v>43</v>
      </c>
      <c r="AF996" t="s">
        <v>43</v>
      </c>
      <c r="AG996" t="s">
        <v>43</v>
      </c>
      <c r="AH996" s="2" t="s">
        <v>43</v>
      </c>
    </row>
    <row r="997" spans="1:34" ht="75">
      <c r="A997" s="6" t="s">
        <v>577</v>
      </c>
      <c r="B997" s="7">
        <v>46049</v>
      </c>
      <c r="C997" s="9" t="str">
        <f>HYPERLINK("https://eping.wto.org/en/Search?viewData= G/TBT/N/BDI/263/Add.3, G/TBT/N/KEN/1292/Add.3, G/TBT/N/RWA/698/Add.3, G/TBT/N/TZA/817/Add.3, G/TBT/N/UGA/1668/Add.3"," G/TBT/N/BDI/263/Add.3, G/TBT/N/KEN/1292/Add.3, G/TBT/N/RWA/698/Add.3, G/TBT/N/TZA/817/Add.3, G/TBT/N/UGA/1668/Add.3")</f>
        <v xml:space="preserve"> G/TBT/N/BDI/263/Add.3, G/TBT/N/KEN/1292/Add.3, G/TBT/N/RWA/698/Add.3, G/TBT/N/TZA/817/Add.3, G/TBT/N/UGA/1668/Add.3</v>
      </c>
      <c r="D997" s="8" t="s">
        <v>3912</v>
      </c>
      <c r="E997" s="8" t="s">
        <v>3913</v>
      </c>
      <c r="F997" s="8" t="s">
        <v>3905</v>
      </c>
      <c r="G997" s="8" t="s">
        <v>3906</v>
      </c>
      <c r="H997" s="8" t="s">
        <v>3907</v>
      </c>
      <c r="I997" s="8" t="s">
        <v>3914</v>
      </c>
      <c r="J997" s="8" t="s">
        <v>43</v>
      </c>
      <c r="K997" s="8" t="s">
        <v>43</v>
      </c>
      <c r="L997" s="6"/>
      <c r="M997" s="7" t="s">
        <v>43</v>
      </c>
      <c r="N997" s="7"/>
      <c r="O997" s="7"/>
      <c r="P997" s="6" t="s">
        <v>44</v>
      </c>
      <c r="Q997" s="6"/>
      <c r="R997" t="str">
        <f>HYPERLINK("https://docs.wto.org/imrd/directdoc.asp?DDFDocuments/t/G/TBTN22/BDI263A3.docx", "https://docs.wto.org/imrd/directdoc.asp?DDFDocuments/t/G/TBTN22/BDI263A3.docx")</f>
        <v>https://docs.wto.org/imrd/directdoc.asp?DDFDocuments/t/G/TBTN22/BDI263A3.docx</v>
      </c>
      <c r="S997" t="str">
        <f>HYPERLINK("https://docs.wto.org/imrd/directdoc.asp?DDFDocuments/u/G/TBTN22/BDI263A3.docx", "https://docs.wto.org/imrd/directdoc.asp?DDFDocuments/u/G/TBTN22/BDI263A3.docx")</f>
        <v>https://docs.wto.org/imrd/directdoc.asp?DDFDocuments/u/G/TBTN22/BDI263A3.docx</v>
      </c>
      <c r="T997" t="str">
        <f>HYPERLINK("https://docs.wto.org/imrd/directdoc.asp?DDFDocuments/v/G/TBTN22/BDI263A3.docx", "https://docs.wto.org/imrd/directdoc.asp?DDFDocuments/v/G/TBTN22/BDI263A3.docx")</f>
        <v>https://docs.wto.org/imrd/directdoc.asp?DDFDocuments/v/G/TBTN22/BDI263A3.docx</v>
      </c>
      <c r="U997" t="s">
        <v>64</v>
      </c>
      <c r="V997" t="s">
        <v>46</v>
      </c>
      <c r="W997" t="s">
        <v>64</v>
      </c>
      <c r="X997" t="s">
        <v>46</v>
      </c>
      <c r="Y997" t="s">
        <v>46</v>
      </c>
      <c r="Z997" t="s">
        <v>46</v>
      </c>
      <c r="AA997" t="s">
        <v>46</v>
      </c>
      <c r="AB997" s="2" t="s">
        <v>43</v>
      </c>
      <c r="AC997" t="s">
        <v>43</v>
      </c>
      <c r="AD997" t="s">
        <v>43</v>
      </c>
      <c r="AE997" t="s">
        <v>43</v>
      </c>
      <c r="AF997" t="s">
        <v>43</v>
      </c>
      <c r="AG997" t="s">
        <v>43</v>
      </c>
      <c r="AH997" s="2" t="s">
        <v>43</v>
      </c>
    </row>
    <row r="998" spans="1:34" ht="75">
      <c r="A998" s="6" t="s">
        <v>509</v>
      </c>
      <c r="B998" s="7">
        <v>46049</v>
      </c>
      <c r="C998" s="9" t="str">
        <f>HYPERLINK("https://eping.wto.org/en/Search?viewData= G/TBT/N/BDI/265/Add.3, G/TBT/N/KEN/1294/Add.3, G/TBT/N/RWA/700/Add.3, G/TBT/N/TZA/819/Add.3, G/TBT/N/UGA/1670/Add.3"," G/TBT/N/BDI/265/Add.3, G/TBT/N/KEN/1294/Add.3, G/TBT/N/RWA/700/Add.3, G/TBT/N/TZA/819/Add.3, G/TBT/N/UGA/1670/Add.3")</f>
        <v xml:space="preserve"> G/TBT/N/BDI/265/Add.3, G/TBT/N/KEN/1294/Add.3, G/TBT/N/RWA/700/Add.3, G/TBT/N/TZA/819/Add.3, G/TBT/N/UGA/1670/Add.3</v>
      </c>
      <c r="D998" s="8" t="s">
        <v>3923</v>
      </c>
      <c r="E998" s="8" t="s">
        <v>3924</v>
      </c>
      <c r="F998" s="8" t="s">
        <v>3905</v>
      </c>
      <c r="G998" s="8" t="s">
        <v>3906</v>
      </c>
      <c r="H998" s="8" t="s">
        <v>3907</v>
      </c>
      <c r="I998" s="8" t="s">
        <v>3908</v>
      </c>
      <c r="J998" s="8" t="s">
        <v>43</v>
      </c>
      <c r="K998" s="8" t="s">
        <v>43</v>
      </c>
      <c r="L998" s="6"/>
      <c r="M998" s="7" t="s">
        <v>43</v>
      </c>
      <c r="N998" s="7"/>
      <c r="O998" s="7"/>
      <c r="P998" s="6" t="s">
        <v>44</v>
      </c>
      <c r="Q998" s="6"/>
      <c r="R998" t="str">
        <f>HYPERLINK("https://docs.wto.org/imrd/directdoc.asp?DDFDocuments/t/G/TBTN22/BDI265A3.docx", "https://docs.wto.org/imrd/directdoc.asp?DDFDocuments/t/G/TBTN22/BDI265A3.docx")</f>
        <v>https://docs.wto.org/imrd/directdoc.asp?DDFDocuments/t/G/TBTN22/BDI265A3.docx</v>
      </c>
      <c r="S998" t="str">
        <f>HYPERLINK("https://docs.wto.org/imrd/directdoc.asp?DDFDocuments/u/G/TBTN22/BDI265A3.docx", "https://docs.wto.org/imrd/directdoc.asp?DDFDocuments/u/G/TBTN22/BDI265A3.docx")</f>
        <v>https://docs.wto.org/imrd/directdoc.asp?DDFDocuments/u/G/TBTN22/BDI265A3.docx</v>
      </c>
      <c r="T998" t="str">
        <f>HYPERLINK("https://docs.wto.org/imrd/directdoc.asp?DDFDocuments/v/G/TBTN22/BDI265A3.docx", "https://docs.wto.org/imrd/directdoc.asp?DDFDocuments/v/G/TBTN22/BDI265A3.docx")</f>
        <v>https://docs.wto.org/imrd/directdoc.asp?DDFDocuments/v/G/TBTN22/BDI265A3.docx</v>
      </c>
      <c r="U998" t="s">
        <v>64</v>
      </c>
      <c r="V998" t="s">
        <v>46</v>
      </c>
      <c r="W998" t="s">
        <v>64</v>
      </c>
      <c r="X998" t="s">
        <v>46</v>
      </c>
      <c r="Y998" t="s">
        <v>46</v>
      </c>
      <c r="Z998" t="s">
        <v>46</v>
      </c>
      <c r="AA998" t="s">
        <v>46</v>
      </c>
      <c r="AB998" s="2" t="s">
        <v>43</v>
      </c>
      <c r="AC998" t="s">
        <v>43</v>
      </c>
      <c r="AD998" t="s">
        <v>43</v>
      </c>
      <c r="AE998" t="s">
        <v>43</v>
      </c>
      <c r="AF998" t="s">
        <v>43</v>
      </c>
      <c r="AG998" t="s">
        <v>43</v>
      </c>
      <c r="AH998" s="2" t="s">
        <v>43</v>
      </c>
    </row>
    <row r="999" spans="1:34" ht="75">
      <c r="A999" s="6" t="s">
        <v>108</v>
      </c>
      <c r="B999" s="7">
        <v>46049</v>
      </c>
      <c r="C999" s="9" t="str">
        <f>HYPERLINK("https://eping.wto.org/en/Search?viewData= G/TBT/N/BDI/263/Add.3, G/TBT/N/KEN/1292/Add.3, G/TBT/N/RWA/698/Add.3, G/TBT/N/TZA/817/Add.3, G/TBT/N/UGA/1668/Add.3"," G/TBT/N/BDI/263/Add.3, G/TBT/N/KEN/1292/Add.3, G/TBT/N/RWA/698/Add.3, G/TBT/N/TZA/817/Add.3, G/TBT/N/UGA/1668/Add.3")</f>
        <v xml:space="preserve"> G/TBT/N/BDI/263/Add.3, G/TBT/N/KEN/1292/Add.3, G/TBT/N/RWA/698/Add.3, G/TBT/N/TZA/817/Add.3, G/TBT/N/UGA/1668/Add.3</v>
      </c>
      <c r="D999" s="8" t="s">
        <v>3912</v>
      </c>
      <c r="E999" s="8" t="s">
        <v>3913</v>
      </c>
      <c r="F999" s="8" t="s">
        <v>3905</v>
      </c>
      <c r="G999" s="8" t="s">
        <v>3906</v>
      </c>
      <c r="H999" s="8" t="s">
        <v>3907</v>
      </c>
      <c r="I999" s="8" t="s">
        <v>3914</v>
      </c>
      <c r="J999" s="8" t="s">
        <v>43</v>
      </c>
      <c r="K999" s="8" t="s">
        <v>43</v>
      </c>
      <c r="L999" s="6"/>
      <c r="M999" s="7" t="s">
        <v>43</v>
      </c>
      <c r="N999" s="7"/>
      <c r="O999" s="7"/>
      <c r="P999" s="6" t="s">
        <v>44</v>
      </c>
      <c r="Q999" s="6"/>
      <c r="R999" t="str">
        <f>HYPERLINK("https://docs.wto.org/imrd/directdoc.asp?DDFDocuments/t/G/TBTN22/BDI263A3.docx", "https://docs.wto.org/imrd/directdoc.asp?DDFDocuments/t/G/TBTN22/BDI263A3.docx")</f>
        <v>https://docs.wto.org/imrd/directdoc.asp?DDFDocuments/t/G/TBTN22/BDI263A3.docx</v>
      </c>
      <c r="S999" t="str">
        <f>HYPERLINK("https://docs.wto.org/imrd/directdoc.asp?DDFDocuments/u/G/TBTN22/BDI263A3.docx", "https://docs.wto.org/imrd/directdoc.asp?DDFDocuments/u/G/TBTN22/BDI263A3.docx")</f>
        <v>https://docs.wto.org/imrd/directdoc.asp?DDFDocuments/u/G/TBTN22/BDI263A3.docx</v>
      </c>
      <c r="T999" t="str">
        <f>HYPERLINK("https://docs.wto.org/imrd/directdoc.asp?DDFDocuments/v/G/TBTN22/BDI263A3.docx", "https://docs.wto.org/imrd/directdoc.asp?DDFDocuments/v/G/TBTN22/BDI263A3.docx")</f>
        <v>https://docs.wto.org/imrd/directdoc.asp?DDFDocuments/v/G/TBTN22/BDI263A3.docx</v>
      </c>
      <c r="U999" t="s">
        <v>64</v>
      </c>
      <c r="V999" t="s">
        <v>46</v>
      </c>
      <c r="W999" t="s">
        <v>64</v>
      </c>
      <c r="X999" t="s">
        <v>46</v>
      </c>
      <c r="Y999" t="s">
        <v>46</v>
      </c>
      <c r="Z999" t="s">
        <v>46</v>
      </c>
      <c r="AA999" t="s">
        <v>46</v>
      </c>
      <c r="AB999" s="2" t="s">
        <v>43</v>
      </c>
      <c r="AC999" t="s">
        <v>43</v>
      </c>
      <c r="AD999" t="s">
        <v>43</v>
      </c>
      <c r="AE999" t="s">
        <v>43</v>
      </c>
      <c r="AF999" t="s">
        <v>43</v>
      </c>
      <c r="AG999" t="s">
        <v>43</v>
      </c>
      <c r="AH999" s="2" t="s">
        <v>43</v>
      </c>
    </row>
    <row r="1000" spans="1:34" ht="75">
      <c r="A1000" s="6" t="s">
        <v>108</v>
      </c>
      <c r="B1000" s="7">
        <v>46049</v>
      </c>
      <c r="C1000" s="9" t="str">
        <f>HYPERLINK("https://eping.wto.org/en/Search?viewData= G/TBT/N/BDI/264/Add.3, G/TBT/N/KEN/1293/Add.3, G/TBT/N/RWA/699/Add.3, G/TBT/N/TZA/818/Add.3, G/TBT/N/UGA/1669/Add.3"," G/TBT/N/BDI/264/Add.3, G/TBT/N/KEN/1293/Add.3, G/TBT/N/RWA/699/Add.3, G/TBT/N/TZA/818/Add.3, G/TBT/N/UGA/1669/Add.3")</f>
        <v xml:space="preserve"> G/TBT/N/BDI/264/Add.3, G/TBT/N/KEN/1293/Add.3, G/TBT/N/RWA/699/Add.3, G/TBT/N/TZA/818/Add.3, G/TBT/N/UGA/1669/Add.3</v>
      </c>
      <c r="D1000" s="8" t="s">
        <v>3925</v>
      </c>
      <c r="E1000" s="8" t="s">
        <v>3926</v>
      </c>
      <c r="F1000" s="8" t="s">
        <v>3905</v>
      </c>
      <c r="G1000" s="8" t="s">
        <v>3906</v>
      </c>
      <c r="H1000" s="8" t="s">
        <v>3907</v>
      </c>
      <c r="I1000" s="8" t="s">
        <v>3908</v>
      </c>
      <c r="J1000" s="8" t="s">
        <v>43</v>
      </c>
      <c r="K1000" s="8" t="s">
        <v>43</v>
      </c>
      <c r="L1000" s="6"/>
      <c r="M1000" s="7" t="s">
        <v>43</v>
      </c>
      <c r="N1000" s="7"/>
      <c r="O1000" s="7"/>
      <c r="P1000" s="6" t="s">
        <v>44</v>
      </c>
      <c r="Q1000" s="6"/>
      <c r="R1000" t="str">
        <f>HYPERLINK("https://docs.wto.org/imrd/directdoc.asp?DDFDocuments/t/G/TBTN22/BDI264A3.docx", "https://docs.wto.org/imrd/directdoc.asp?DDFDocuments/t/G/TBTN22/BDI264A3.docx")</f>
        <v>https://docs.wto.org/imrd/directdoc.asp?DDFDocuments/t/G/TBTN22/BDI264A3.docx</v>
      </c>
      <c r="S1000" t="str">
        <f>HYPERLINK("https://docs.wto.org/imrd/directdoc.asp?DDFDocuments/u/G/TBTN22/BDI264A3.docx", "https://docs.wto.org/imrd/directdoc.asp?DDFDocuments/u/G/TBTN22/BDI264A3.docx")</f>
        <v>https://docs.wto.org/imrd/directdoc.asp?DDFDocuments/u/G/TBTN22/BDI264A3.docx</v>
      </c>
      <c r="T1000" t="str">
        <f>HYPERLINK("https://docs.wto.org/imrd/directdoc.asp?DDFDocuments/v/G/TBTN22/BDI264A3.docx", "https://docs.wto.org/imrd/directdoc.asp?DDFDocuments/v/G/TBTN22/BDI264A3.docx")</f>
        <v>https://docs.wto.org/imrd/directdoc.asp?DDFDocuments/v/G/TBTN22/BDI264A3.docx</v>
      </c>
      <c r="U1000" t="s">
        <v>64</v>
      </c>
      <c r="V1000" t="s">
        <v>46</v>
      </c>
      <c r="W1000" t="s">
        <v>64</v>
      </c>
      <c r="X1000" t="s">
        <v>46</v>
      </c>
      <c r="Y1000" t="s">
        <v>46</v>
      </c>
      <c r="Z1000" t="s">
        <v>46</v>
      </c>
      <c r="AA1000" t="s">
        <v>46</v>
      </c>
      <c r="AB1000" s="2" t="s">
        <v>43</v>
      </c>
      <c r="AC1000" t="s">
        <v>43</v>
      </c>
      <c r="AD1000" t="s">
        <v>43</v>
      </c>
      <c r="AE1000" t="s">
        <v>43</v>
      </c>
      <c r="AF1000" t="s">
        <v>43</v>
      </c>
      <c r="AG1000" t="s">
        <v>43</v>
      </c>
      <c r="AH1000" s="2" t="s">
        <v>43</v>
      </c>
    </row>
    <row r="1001" spans="1:34" ht="75">
      <c r="A1001" s="6" t="s">
        <v>390</v>
      </c>
      <c r="B1001" s="7">
        <v>46049</v>
      </c>
      <c r="C1001" s="9" t="str">
        <f>HYPERLINK("https://eping.wto.org/en/Search?viewData= G/TBT/N/BDI/261/Add.3, G/TBT/N/KEN/1290/Add.3, G/TBT/N/RWA/696/Add.3, G/TBT/N/TZA/815/Add.3, G/TBT/N/UGA/1666/Add.3"," G/TBT/N/BDI/261/Add.3, G/TBT/N/KEN/1290/Add.3, G/TBT/N/RWA/696/Add.3, G/TBT/N/TZA/815/Add.3, G/TBT/N/UGA/1666/Add.3")</f>
        <v xml:space="preserve"> G/TBT/N/BDI/261/Add.3, G/TBT/N/KEN/1290/Add.3, G/TBT/N/RWA/696/Add.3, G/TBT/N/TZA/815/Add.3, G/TBT/N/UGA/1666/Add.3</v>
      </c>
      <c r="D1001" s="8" t="s">
        <v>3909</v>
      </c>
      <c r="E1001" s="8" t="s">
        <v>3910</v>
      </c>
      <c r="F1001" s="8" t="s">
        <v>3905</v>
      </c>
      <c r="G1001" s="8" t="s">
        <v>3906</v>
      </c>
      <c r="H1001" s="8" t="s">
        <v>3907</v>
      </c>
      <c r="I1001" s="8" t="s">
        <v>3911</v>
      </c>
      <c r="J1001" s="8" t="s">
        <v>43</v>
      </c>
      <c r="K1001" s="8" t="s">
        <v>43</v>
      </c>
      <c r="L1001" s="6"/>
      <c r="M1001" s="7" t="s">
        <v>43</v>
      </c>
      <c r="N1001" s="7"/>
      <c r="O1001" s="7"/>
      <c r="P1001" s="6" t="s">
        <v>44</v>
      </c>
      <c r="Q1001" s="6"/>
      <c r="R1001" t="str">
        <f>HYPERLINK("https://docs.wto.org/imrd/directdoc.asp?DDFDocuments/t/G/TBTN22/BDI261A3.docx", "https://docs.wto.org/imrd/directdoc.asp?DDFDocuments/t/G/TBTN22/BDI261A3.docx")</f>
        <v>https://docs.wto.org/imrd/directdoc.asp?DDFDocuments/t/G/TBTN22/BDI261A3.docx</v>
      </c>
      <c r="S1001" t="str">
        <f>HYPERLINK("https://docs.wto.org/imrd/directdoc.asp?DDFDocuments/u/G/TBTN22/BDI261A3.docx", "https://docs.wto.org/imrd/directdoc.asp?DDFDocuments/u/G/TBTN22/BDI261A3.docx")</f>
        <v>https://docs.wto.org/imrd/directdoc.asp?DDFDocuments/u/G/TBTN22/BDI261A3.docx</v>
      </c>
      <c r="T1001" t="str">
        <f>HYPERLINK("https://docs.wto.org/imrd/directdoc.asp?DDFDocuments/v/G/TBTN22/BDI261A3.docx", "https://docs.wto.org/imrd/directdoc.asp?DDFDocuments/v/G/TBTN22/BDI261A3.docx")</f>
        <v>https://docs.wto.org/imrd/directdoc.asp?DDFDocuments/v/G/TBTN22/BDI261A3.docx</v>
      </c>
      <c r="U1001" t="s">
        <v>64</v>
      </c>
      <c r="V1001" t="s">
        <v>46</v>
      </c>
      <c r="W1001" t="s">
        <v>64</v>
      </c>
      <c r="X1001" t="s">
        <v>46</v>
      </c>
      <c r="Y1001" t="s">
        <v>46</v>
      </c>
      <c r="Z1001" t="s">
        <v>46</v>
      </c>
      <c r="AA1001" t="s">
        <v>46</v>
      </c>
      <c r="AB1001" s="2" t="s">
        <v>43</v>
      </c>
      <c r="AC1001" t="s">
        <v>43</v>
      </c>
      <c r="AD1001" t="s">
        <v>43</v>
      </c>
      <c r="AE1001" t="s">
        <v>43</v>
      </c>
      <c r="AF1001" t="s">
        <v>43</v>
      </c>
      <c r="AG1001" t="s">
        <v>43</v>
      </c>
      <c r="AH1001" s="2" t="s">
        <v>43</v>
      </c>
    </row>
    <row r="1002" spans="1:34" ht="75">
      <c r="A1002" s="6" t="s">
        <v>390</v>
      </c>
      <c r="B1002" s="7">
        <v>46049</v>
      </c>
      <c r="C1002" s="9" t="str">
        <f>HYPERLINK("https://eping.wto.org/en/Search?viewData= G/TBT/N/BDI/262/Add.3, G/TBT/N/KEN/1291/Add.3, G/TBT/N/RWA/697/Add.3, G/TBT/N/TZA/816/Add.3, G/TBT/N/UGA/1667/Add.3"," G/TBT/N/BDI/262/Add.3, G/TBT/N/KEN/1291/Add.3, G/TBT/N/RWA/697/Add.3, G/TBT/N/TZA/816/Add.3, G/TBT/N/UGA/1667/Add.3")</f>
        <v xml:space="preserve"> G/TBT/N/BDI/262/Add.3, G/TBT/N/KEN/1291/Add.3, G/TBT/N/RWA/697/Add.3, G/TBT/N/TZA/816/Add.3, G/TBT/N/UGA/1667/Add.3</v>
      </c>
      <c r="D1002" s="8" t="s">
        <v>3915</v>
      </c>
      <c r="E1002" s="8" t="s">
        <v>3916</v>
      </c>
      <c r="F1002" s="8" t="s">
        <v>3905</v>
      </c>
      <c r="G1002" s="8" t="s">
        <v>3906</v>
      </c>
      <c r="H1002" s="8" t="s">
        <v>3907</v>
      </c>
      <c r="I1002" s="8" t="s">
        <v>2042</v>
      </c>
      <c r="J1002" s="8" t="s">
        <v>43</v>
      </c>
      <c r="K1002" s="8" t="s">
        <v>43</v>
      </c>
      <c r="L1002" s="6"/>
      <c r="M1002" s="7" t="s">
        <v>43</v>
      </c>
      <c r="N1002" s="7"/>
      <c r="O1002" s="7"/>
      <c r="P1002" s="6" t="s">
        <v>44</v>
      </c>
      <c r="Q1002" s="6"/>
      <c r="R1002" t="str">
        <f>HYPERLINK("https://docs.wto.org/imrd/directdoc.asp?DDFDocuments/t/G/TBTN22/BDI262A3.docx", "https://docs.wto.org/imrd/directdoc.asp?DDFDocuments/t/G/TBTN22/BDI262A3.docx")</f>
        <v>https://docs.wto.org/imrd/directdoc.asp?DDFDocuments/t/G/TBTN22/BDI262A3.docx</v>
      </c>
      <c r="S1002" t="str">
        <f>HYPERLINK("https://docs.wto.org/imrd/directdoc.asp?DDFDocuments/u/G/TBTN22/BDI262A3.docx", "https://docs.wto.org/imrd/directdoc.asp?DDFDocuments/u/G/TBTN22/BDI262A3.docx")</f>
        <v>https://docs.wto.org/imrd/directdoc.asp?DDFDocuments/u/G/TBTN22/BDI262A3.docx</v>
      </c>
      <c r="T1002" t="str">
        <f>HYPERLINK("https://docs.wto.org/imrd/directdoc.asp?DDFDocuments/v/G/TBTN22/BDI262A3.docx", "https://docs.wto.org/imrd/directdoc.asp?DDFDocuments/v/G/TBTN22/BDI262A3.docx")</f>
        <v>https://docs.wto.org/imrd/directdoc.asp?DDFDocuments/v/G/TBTN22/BDI262A3.docx</v>
      </c>
      <c r="U1002" t="s">
        <v>64</v>
      </c>
      <c r="V1002" t="s">
        <v>46</v>
      </c>
      <c r="W1002" t="s">
        <v>64</v>
      </c>
      <c r="X1002" t="s">
        <v>46</v>
      </c>
      <c r="Y1002" t="s">
        <v>46</v>
      </c>
      <c r="Z1002" t="s">
        <v>46</v>
      </c>
      <c r="AA1002" t="s">
        <v>46</v>
      </c>
      <c r="AB1002" s="2" t="s">
        <v>43</v>
      </c>
      <c r="AC1002" t="s">
        <v>43</v>
      </c>
      <c r="AD1002" t="s">
        <v>43</v>
      </c>
      <c r="AE1002" t="s">
        <v>43</v>
      </c>
      <c r="AF1002" t="s">
        <v>43</v>
      </c>
      <c r="AG1002" t="s">
        <v>43</v>
      </c>
      <c r="AH1002" s="2" t="s">
        <v>43</v>
      </c>
    </row>
    <row r="1003" spans="1:34" ht="75">
      <c r="A1003" s="6" t="s">
        <v>108</v>
      </c>
      <c r="B1003" s="7">
        <v>46049</v>
      </c>
      <c r="C1003" s="9" t="str">
        <f>HYPERLINK("https://eping.wto.org/en/Search?viewData= G/TBT/N/BDI/262/Add.3, G/TBT/N/KEN/1291/Add.3, G/TBT/N/RWA/697/Add.3, G/TBT/N/TZA/816/Add.3, G/TBT/N/UGA/1667/Add.3"," G/TBT/N/BDI/262/Add.3, G/TBT/N/KEN/1291/Add.3, G/TBT/N/RWA/697/Add.3, G/TBT/N/TZA/816/Add.3, G/TBT/N/UGA/1667/Add.3")</f>
        <v xml:space="preserve"> G/TBT/N/BDI/262/Add.3, G/TBT/N/KEN/1291/Add.3, G/TBT/N/RWA/697/Add.3, G/TBT/N/TZA/816/Add.3, G/TBT/N/UGA/1667/Add.3</v>
      </c>
      <c r="D1003" s="8" t="s">
        <v>3915</v>
      </c>
      <c r="E1003" s="8" t="s">
        <v>3916</v>
      </c>
      <c r="F1003" s="8" t="s">
        <v>3905</v>
      </c>
      <c r="G1003" s="8" t="s">
        <v>3906</v>
      </c>
      <c r="H1003" s="8" t="s">
        <v>3907</v>
      </c>
      <c r="I1003" s="8" t="s">
        <v>3908</v>
      </c>
      <c r="J1003" s="8" t="s">
        <v>43</v>
      </c>
      <c r="K1003" s="8" t="s">
        <v>43</v>
      </c>
      <c r="L1003" s="6"/>
      <c r="M1003" s="7" t="s">
        <v>43</v>
      </c>
      <c r="N1003" s="7"/>
      <c r="O1003" s="7"/>
      <c r="P1003" s="6" t="s">
        <v>44</v>
      </c>
      <c r="Q1003" s="6"/>
      <c r="R1003" t="str">
        <f>HYPERLINK("https://docs.wto.org/imrd/directdoc.asp?DDFDocuments/t/G/TBTN22/BDI262A3.docx", "https://docs.wto.org/imrd/directdoc.asp?DDFDocuments/t/G/TBTN22/BDI262A3.docx")</f>
        <v>https://docs.wto.org/imrd/directdoc.asp?DDFDocuments/t/G/TBTN22/BDI262A3.docx</v>
      </c>
      <c r="S1003" t="str">
        <f>HYPERLINK("https://docs.wto.org/imrd/directdoc.asp?DDFDocuments/u/G/TBTN22/BDI262A3.docx", "https://docs.wto.org/imrd/directdoc.asp?DDFDocuments/u/G/TBTN22/BDI262A3.docx")</f>
        <v>https://docs.wto.org/imrd/directdoc.asp?DDFDocuments/u/G/TBTN22/BDI262A3.docx</v>
      </c>
      <c r="T1003" t="str">
        <f>HYPERLINK("https://docs.wto.org/imrd/directdoc.asp?DDFDocuments/v/G/TBTN22/BDI262A3.docx", "https://docs.wto.org/imrd/directdoc.asp?DDFDocuments/v/G/TBTN22/BDI262A3.docx")</f>
        <v>https://docs.wto.org/imrd/directdoc.asp?DDFDocuments/v/G/TBTN22/BDI262A3.docx</v>
      </c>
      <c r="U1003" t="s">
        <v>64</v>
      </c>
      <c r="V1003" t="s">
        <v>46</v>
      </c>
      <c r="W1003" t="s">
        <v>64</v>
      </c>
      <c r="X1003" t="s">
        <v>46</v>
      </c>
      <c r="Y1003" t="s">
        <v>46</v>
      </c>
      <c r="Z1003" t="s">
        <v>46</v>
      </c>
      <c r="AA1003" t="s">
        <v>46</v>
      </c>
      <c r="AB1003" s="2" t="s">
        <v>43</v>
      </c>
      <c r="AC1003" t="s">
        <v>43</v>
      </c>
      <c r="AD1003" t="s">
        <v>43</v>
      </c>
      <c r="AE1003" t="s">
        <v>43</v>
      </c>
      <c r="AF1003" t="s">
        <v>43</v>
      </c>
      <c r="AG1003" t="s">
        <v>43</v>
      </c>
      <c r="AH1003" s="2" t="s">
        <v>43</v>
      </c>
    </row>
    <row r="1004" spans="1:34" ht="90">
      <c r="A1004" s="6" t="s">
        <v>862</v>
      </c>
      <c r="B1004" s="7">
        <v>46049</v>
      </c>
      <c r="C1004" s="9" t="str">
        <f>HYPERLINK("https://eping.wto.org/en/Search?viewData= G/TBT/N/CHE/301"," G/TBT/N/CHE/301")</f>
        <v xml:space="preserve"> G/TBT/N/CHE/301</v>
      </c>
      <c r="D1004" s="8" t="s">
        <v>1106</v>
      </c>
      <c r="E1004" s="8" t="s">
        <v>3927</v>
      </c>
      <c r="F1004" s="8" t="s">
        <v>1108</v>
      </c>
      <c r="G1004" s="8" t="s">
        <v>43</v>
      </c>
      <c r="H1004" s="8" t="s">
        <v>43</v>
      </c>
      <c r="I1004" s="8" t="s">
        <v>137</v>
      </c>
      <c r="J1004" s="8" t="s">
        <v>43</v>
      </c>
      <c r="K1004" s="8" t="s">
        <v>43</v>
      </c>
      <c r="L1004" s="6"/>
      <c r="M1004" s="7">
        <v>46109</v>
      </c>
      <c r="N1004" s="7">
        <v>46327</v>
      </c>
      <c r="O1004" s="7">
        <v>46357</v>
      </c>
      <c r="P1004" s="6" t="s">
        <v>62</v>
      </c>
      <c r="Q1004" s="8" t="s">
        <v>3928</v>
      </c>
      <c r="R1004" t="str">
        <f>HYPERLINK("https://docs.wto.org/imrd/directdoc.asp?DDFDocuments/t/G/TBTN26/CHE301.docx", "https://docs.wto.org/imrd/directdoc.asp?DDFDocuments/t/G/TBTN26/CHE301.docx")</f>
        <v>https://docs.wto.org/imrd/directdoc.asp?DDFDocuments/t/G/TBTN26/CHE301.docx</v>
      </c>
      <c r="S1004" t="str">
        <f>HYPERLINK("https://docs.wto.org/imrd/directdoc.asp?DDFDocuments/u/G/TBTN26/CHE301.docx", "https://docs.wto.org/imrd/directdoc.asp?DDFDocuments/u/G/TBTN26/CHE301.docx")</f>
        <v>https://docs.wto.org/imrd/directdoc.asp?DDFDocuments/u/G/TBTN26/CHE301.docx</v>
      </c>
      <c r="T1004" t="str">
        <f>HYPERLINK("https://docs.wto.org/imrd/directdoc.asp?DDFDocuments/v/G/TBTN26/CHE301.docx", "https://docs.wto.org/imrd/directdoc.asp?DDFDocuments/v/G/TBTN26/CHE301.docx")</f>
        <v>https://docs.wto.org/imrd/directdoc.asp?DDFDocuments/v/G/TBTN26/CHE301.docx</v>
      </c>
      <c r="U1004" t="s">
        <v>64</v>
      </c>
      <c r="V1004" t="s">
        <v>46</v>
      </c>
      <c r="W1004" t="s">
        <v>46</v>
      </c>
      <c r="X1004" t="s">
        <v>46</v>
      </c>
      <c r="Y1004" t="s">
        <v>46</v>
      </c>
      <c r="Z1004" t="s">
        <v>46</v>
      </c>
      <c r="AA1004" t="s">
        <v>46</v>
      </c>
      <c r="AB1004" s="2" t="s">
        <v>3929</v>
      </c>
      <c r="AC1004" t="s">
        <v>43</v>
      </c>
      <c r="AD1004" t="s">
        <v>43</v>
      </c>
      <c r="AE1004" t="s">
        <v>43</v>
      </c>
      <c r="AF1004" t="s">
        <v>43</v>
      </c>
      <c r="AG1004" t="s">
        <v>43</v>
      </c>
      <c r="AH1004" s="2" t="s">
        <v>43</v>
      </c>
    </row>
    <row r="1005" spans="1:34" ht="75">
      <c r="A1005" s="6" t="s">
        <v>390</v>
      </c>
      <c r="B1005" s="7">
        <v>46049</v>
      </c>
      <c r="C1005" s="9" t="str">
        <f>HYPERLINK("https://eping.wto.org/en/Search?viewData= G/TBT/N/BDI/264/Add.3, G/TBT/N/KEN/1293/Add.3, G/TBT/N/RWA/699/Add.3, G/TBT/N/TZA/818/Add.3, G/TBT/N/UGA/1669/Add.3"," G/TBT/N/BDI/264/Add.3, G/TBT/N/KEN/1293/Add.3, G/TBT/N/RWA/699/Add.3, G/TBT/N/TZA/818/Add.3, G/TBT/N/UGA/1669/Add.3")</f>
        <v xml:space="preserve"> G/TBT/N/BDI/264/Add.3, G/TBT/N/KEN/1293/Add.3, G/TBT/N/RWA/699/Add.3, G/TBT/N/TZA/818/Add.3, G/TBT/N/UGA/1669/Add.3</v>
      </c>
      <c r="D1005" s="8" t="s">
        <v>3925</v>
      </c>
      <c r="E1005" s="8" t="s">
        <v>3926</v>
      </c>
      <c r="F1005" s="8" t="s">
        <v>3905</v>
      </c>
      <c r="G1005" s="8" t="s">
        <v>3906</v>
      </c>
      <c r="H1005" s="8" t="s">
        <v>3907</v>
      </c>
      <c r="I1005" s="8" t="s">
        <v>2042</v>
      </c>
      <c r="J1005" s="8" t="s">
        <v>43</v>
      </c>
      <c r="K1005" s="8" t="s">
        <v>43</v>
      </c>
      <c r="L1005" s="6"/>
      <c r="M1005" s="7" t="s">
        <v>43</v>
      </c>
      <c r="N1005" s="7"/>
      <c r="O1005" s="7"/>
      <c r="P1005" s="6" t="s">
        <v>44</v>
      </c>
      <c r="Q1005" s="6"/>
      <c r="R1005" t="str">
        <f>HYPERLINK("https://docs.wto.org/imrd/directdoc.asp?DDFDocuments/t/G/TBTN22/BDI264A3.docx", "https://docs.wto.org/imrd/directdoc.asp?DDFDocuments/t/G/TBTN22/BDI264A3.docx")</f>
        <v>https://docs.wto.org/imrd/directdoc.asp?DDFDocuments/t/G/TBTN22/BDI264A3.docx</v>
      </c>
      <c r="S1005" t="str">
        <f>HYPERLINK("https://docs.wto.org/imrd/directdoc.asp?DDFDocuments/u/G/TBTN22/BDI264A3.docx", "https://docs.wto.org/imrd/directdoc.asp?DDFDocuments/u/G/TBTN22/BDI264A3.docx")</f>
        <v>https://docs.wto.org/imrd/directdoc.asp?DDFDocuments/u/G/TBTN22/BDI264A3.docx</v>
      </c>
      <c r="T1005" t="str">
        <f>HYPERLINK("https://docs.wto.org/imrd/directdoc.asp?DDFDocuments/v/G/TBTN22/BDI264A3.docx", "https://docs.wto.org/imrd/directdoc.asp?DDFDocuments/v/G/TBTN22/BDI264A3.docx")</f>
        <v>https://docs.wto.org/imrd/directdoc.asp?DDFDocuments/v/G/TBTN22/BDI264A3.docx</v>
      </c>
      <c r="U1005" t="s">
        <v>64</v>
      </c>
      <c r="V1005" t="s">
        <v>46</v>
      </c>
      <c r="W1005" t="s">
        <v>64</v>
      </c>
      <c r="X1005" t="s">
        <v>46</v>
      </c>
      <c r="Y1005" t="s">
        <v>46</v>
      </c>
      <c r="Z1005" t="s">
        <v>46</v>
      </c>
      <c r="AA1005" t="s">
        <v>46</v>
      </c>
      <c r="AB1005" s="2" t="s">
        <v>43</v>
      </c>
      <c r="AC1005" t="s">
        <v>43</v>
      </c>
      <c r="AD1005" t="s">
        <v>43</v>
      </c>
      <c r="AE1005" t="s">
        <v>43</v>
      </c>
      <c r="AF1005" t="s">
        <v>43</v>
      </c>
      <c r="AG1005" t="s">
        <v>43</v>
      </c>
      <c r="AH1005" s="2" t="s">
        <v>43</v>
      </c>
    </row>
    <row r="1006" spans="1:34" ht="240">
      <c r="A1006" s="6" t="s">
        <v>880</v>
      </c>
      <c r="B1006" s="7">
        <v>46049</v>
      </c>
      <c r="C1006" s="9" t="str">
        <f>HYPERLINK("https://eping.wto.org/en/Search?viewData= G/TBT/N/ECU/546/Add.2"," G/TBT/N/ECU/546/Add.2")</f>
        <v xml:space="preserve"> G/TBT/N/ECU/546/Add.2</v>
      </c>
      <c r="D1006" s="8" t="s">
        <v>3930</v>
      </c>
      <c r="E1006" s="8" t="s">
        <v>3931</v>
      </c>
      <c r="F1006" s="8" t="s">
        <v>3932</v>
      </c>
      <c r="G1006" s="8" t="s">
        <v>43</v>
      </c>
      <c r="H1006" s="8" t="s">
        <v>3933</v>
      </c>
      <c r="I1006" s="8" t="s">
        <v>1483</v>
      </c>
      <c r="J1006" s="8"/>
      <c r="K1006" s="8" t="s">
        <v>42</v>
      </c>
      <c r="L1006" s="6"/>
      <c r="M1006" s="7" t="s">
        <v>43</v>
      </c>
      <c r="N1006" s="7"/>
      <c r="O1006" s="7"/>
      <c r="P1006" s="6" t="s">
        <v>44</v>
      </c>
      <c r="Q1006" s="8" t="s">
        <v>3934</v>
      </c>
      <c r="R1006" t="str">
        <f>HYPERLINK("https://docs.wto.org/imrd/directdoc.asp?DDFDocuments/t/G/TBTN24/ECU546A2.docx", "https://docs.wto.org/imrd/directdoc.asp?DDFDocuments/t/G/TBTN24/ECU546A2.docx")</f>
        <v>https://docs.wto.org/imrd/directdoc.asp?DDFDocuments/t/G/TBTN24/ECU546A2.docx</v>
      </c>
      <c r="S1006" t="str">
        <f>HYPERLINK("https://docs.wto.org/imrd/directdoc.asp?DDFDocuments/u/G/TBTN24/ECU546A2.docx", "https://docs.wto.org/imrd/directdoc.asp?DDFDocuments/u/G/TBTN24/ECU546A2.docx")</f>
        <v>https://docs.wto.org/imrd/directdoc.asp?DDFDocuments/u/G/TBTN24/ECU546A2.docx</v>
      </c>
      <c r="T1006" t="str">
        <f>HYPERLINK("https://docs.wto.org/imrd/directdoc.asp?DDFDocuments/v/G/TBTN24/ECU546A2.docx", "https://docs.wto.org/imrd/directdoc.asp?DDFDocuments/v/G/TBTN24/ECU546A2.docx")</f>
        <v>https://docs.wto.org/imrd/directdoc.asp?DDFDocuments/v/G/TBTN24/ECU546A2.docx</v>
      </c>
      <c r="U1006" t="s">
        <v>64</v>
      </c>
      <c r="V1006" t="s">
        <v>46</v>
      </c>
      <c r="W1006" t="s">
        <v>46</v>
      </c>
      <c r="X1006" t="s">
        <v>46</v>
      </c>
      <c r="Y1006" t="s">
        <v>46</v>
      </c>
      <c r="Z1006" t="s">
        <v>46</v>
      </c>
      <c r="AA1006" t="s">
        <v>46</v>
      </c>
      <c r="AB1006" s="2" t="s">
        <v>43</v>
      </c>
      <c r="AC1006" t="s">
        <v>43</v>
      </c>
      <c r="AD1006" t="s">
        <v>43</v>
      </c>
      <c r="AE1006" t="s">
        <v>43</v>
      </c>
      <c r="AF1006" t="s">
        <v>43</v>
      </c>
      <c r="AG1006" t="s">
        <v>43</v>
      </c>
      <c r="AH1006" s="2" t="s">
        <v>43</v>
      </c>
    </row>
    <row r="1007" spans="1:34" ht="75">
      <c r="A1007" s="6" t="s">
        <v>108</v>
      </c>
      <c r="B1007" s="7">
        <v>46049</v>
      </c>
      <c r="C1007" s="9" t="str">
        <f>HYPERLINK("https://eping.wto.org/en/Search?viewData= G/TBT/N/BDI/265/Add.3, G/TBT/N/KEN/1294/Add.3, G/TBT/N/RWA/700/Add.3, G/TBT/N/TZA/819/Add.3, G/TBT/N/UGA/1670/Add.3"," G/TBT/N/BDI/265/Add.3, G/TBT/N/KEN/1294/Add.3, G/TBT/N/RWA/700/Add.3, G/TBT/N/TZA/819/Add.3, G/TBT/N/UGA/1670/Add.3")</f>
        <v xml:space="preserve"> G/TBT/N/BDI/265/Add.3, G/TBT/N/KEN/1294/Add.3, G/TBT/N/RWA/700/Add.3, G/TBT/N/TZA/819/Add.3, G/TBT/N/UGA/1670/Add.3</v>
      </c>
      <c r="D1007" s="8" t="s">
        <v>3923</v>
      </c>
      <c r="E1007" s="8" t="s">
        <v>3924</v>
      </c>
      <c r="F1007" s="8" t="s">
        <v>3905</v>
      </c>
      <c r="G1007" s="8" t="s">
        <v>3906</v>
      </c>
      <c r="H1007" s="8" t="s">
        <v>3907</v>
      </c>
      <c r="I1007" s="8" t="s">
        <v>3908</v>
      </c>
      <c r="J1007" s="8" t="s">
        <v>43</v>
      </c>
      <c r="K1007" s="8" t="s">
        <v>43</v>
      </c>
      <c r="L1007" s="6"/>
      <c r="M1007" s="7" t="s">
        <v>43</v>
      </c>
      <c r="N1007" s="7"/>
      <c r="O1007" s="7"/>
      <c r="P1007" s="6" t="s">
        <v>44</v>
      </c>
      <c r="Q1007" s="6"/>
      <c r="R1007" t="str">
        <f>HYPERLINK("https://docs.wto.org/imrd/directdoc.asp?DDFDocuments/t/G/TBTN22/BDI265A3.docx", "https://docs.wto.org/imrd/directdoc.asp?DDFDocuments/t/G/TBTN22/BDI265A3.docx")</f>
        <v>https://docs.wto.org/imrd/directdoc.asp?DDFDocuments/t/G/TBTN22/BDI265A3.docx</v>
      </c>
      <c r="S1007" t="str">
        <f>HYPERLINK("https://docs.wto.org/imrd/directdoc.asp?DDFDocuments/u/G/TBTN22/BDI265A3.docx", "https://docs.wto.org/imrd/directdoc.asp?DDFDocuments/u/G/TBTN22/BDI265A3.docx")</f>
        <v>https://docs.wto.org/imrd/directdoc.asp?DDFDocuments/u/G/TBTN22/BDI265A3.docx</v>
      </c>
      <c r="T1007" t="str">
        <f>HYPERLINK("https://docs.wto.org/imrd/directdoc.asp?DDFDocuments/v/G/TBTN22/BDI265A3.docx", "https://docs.wto.org/imrd/directdoc.asp?DDFDocuments/v/G/TBTN22/BDI265A3.docx")</f>
        <v>https://docs.wto.org/imrd/directdoc.asp?DDFDocuments/v/G/TBTN22/BDI265A3.docx</v>
      </c>
      <c r="U1007" t="s">
        <v>64</v>
      </c>
      <c r="V1007" t="s">
        <v>46</v>
      </c>
      <c r="W1007" t="s">
        <v>64</v>
      </c>
      <c r="X1007" t="s">
        <v>46</v>
      </c>
      <c r="Y1007" t="s">
        <v>46</v>
      </c>
      <c r="Z1007" t="s">
        <v>46</v>
      </c>
      <c r="AA1007" t="s">
        <v>46</v>
      </c>
      <c r="AB1007" s="2" t="s">
        <v>43</v>
      </c>
      <c r="AC1007" t="s">
        <v>43</v>
      </c>
      <c r="AD1007" t="s">
        <v>43</v>
      </c>
      <c r="AE1007" t="s">
        <v>43</v>
      </c>
      <c r="AF1007" t="s">
        <v>43</v>
      </c>
      <c r="AG1007" t="s">
        <v>43</v>
      </c>
      <c r="AH1007" s="2" t="s">
        <v>43</v>
      </c>
    </row>
    <row r="1008" spans="1:34" ht="75">
      <c r="A1008" s="6" t="s">
        <v>509</v>
      </c>
      <c r="B1008" s="7">
        <v>46049</v>
      </c>
      <c r="C1008" s="9" t="str">
        <f>HYPERLINK("https://eping.wto.org/en/Search?viewData= G/TBT/N/BDI/261/Add.3, G/TBT/N/KEN/1290/Add.3, G/TBT/N/RWA/696/Add.3, G/TBT/N/TZA/815/Add.3, G/TBT/N/UGA/1666/Add.3"," G/TBT/N/BDI/261/Add.3, G/TBT/N/KEN/1290/Add.3, G/TBT/N/RWA/696/Add.3, G/TBT/N/TZA/815/Add.3, G/TBT/N/UGA/1666/Add.3")</f>
        <v xml:space="preserve"> G/TBT/N/BDI/261/Add.3, G/TBT/N/KEN/1290/Add.3, G/TBT/N/RWA/696/Add.3, G/TBT/N/TZA/815/Add.3, G/TBT/N/UGA/1666/Add.3</v>
      </c>
      <c r="D1008" s="8" t="s">
        <v>3909</v>
      </c>
      <c r="E1008" s="8" t="s">
        <v>3910</v>
      </c>
      <c r="F1008" s="8" t="s">
        <v>3905</v>
      </c>
      <c r="G1008" s="8" t="s">
        <v>3906</v>
      </c>
      <c r="H1008" s="8" t="s">
        <v>3907</v>
      </c>
      <c r="I1008" s="8" t="s">
        <v>3911</v>
      </c>
      <c r="J1008" s="8" t="s">
        <v>43</v>
      </c>
      <c r="K1008" s="8" t="s">
        <v>43</v>
      </c>
      <c r="L1008" s="6"/>
      <c r="M1008" s="7" t="s">
        <v>43</v>
      </c>
      <c r="N1008" s="7"/>
      <c r="O1008" s="7"/>
      <c r="P1008" s="6" t="s">
        <v>44</v>
      </c>
      <c r="Q1008" s="6"/>
      <c r="R1008" t="str">
        <f>HYPERLINK("https://docs.wto.org/imrd/directdoc.asp?DDFDocuments/t/G/TBTN22/BDI261A3.docx", "https://docs.wto.org/imrd/directdoc.asp?DDFDocuments/t/G/TBTN22/BDI261A3.docx")</f>
        <v>https://docs.wto.org/imrd/directdoc.asp?DDFDocuments/t/G/TBTN22/BDI261A3.docx</v>
      </c>
      <c r="S1008" t="str">
        <f>HYPERLINK("https://docs.wto.org/imrd/directdoc.asp?DDFDocuments/u/G/TBTN22/BDI261A3.docx", "https://docs.wto.org/imrd/directdoc.asp?DDFDocuments/u/G/TBTN22/BDI261A3.docx")</f>
        <v>https://docs.wto.org/imrd/directdoc.asp?DDFDocuments/u/G/TBTN22/BDI261A3.docx</v>
      </c>
      <c r="T1008" t="str">
        <f>HYPERLINK("https://docs.wto.org/imrd/directdoc.asp?DDFDocuments/v/G/TBTN22/BDI261A3.docx", "https://docs.wto.org/imrd/directdoc.asp?DDFDocuments/v/G/TBTN22/BDI261A3.docx")</f>
        <v>https://docs.wto.org/imrd/directdoc.asp?DDFDocuments/v/G/TBTN22/BDI261A3.docx</v>
      </c>
      <c r="U1008" t="s">
        <v>64</v>
      </c>
      <c r="V1008" t="s">
        <v>46</v>
      </c>
      <c r="W1008" t="s">
        <v>64</v>
      </c>
      <c r="X1008" t="s">
        <v>46</v>
      </c>
      <c r="Y1008" t="s">
        <v>46</v>
      </c>
      <c r="Z1008" t="s">
        <v>46</v>
      </c>
      <c r="AA1008" t="s">
        <v>46</v>
      </c>
      <c r="AB1008" s="2" t="s">
        <v>43</v>
      </c>
      <c r="AC1008" t="s">
        <v>43</v>
      </c>
      <c r="AD1008" t="s">
        <v>43</v>
      </c>
      <c r="AE1008" t="s">
        <v>43</v>
      </c>
      <c r="AF1008" t="s">
        <v>43</v>
      </c>
      <c r="AG1008" t="s">
        <v>43</v>
      </c>
      <c r="AH1008" s="2" t="s">
        <v>43</v>
      </c>
    </row>
    <row r="1009" spans="1:34" ht="180">
      <c r="A1009" s="6" t="s">
        <v>1814</v>
      </c>
      <c r="B1009" s="7">
        <v>46048</v>
      </c>
      <c r="C1009" s="9" t="str">
        <f>HYPERLINK("https://eping.wto.org/en/Search?viewData= G/TBT/N/GBR/113"," G/TBT/N/GBR/113")</f>
        <v xml:space="preserve"> G/TBT/N/GBR/113</v>
      </c>
      <c r="D1009" s="8" t="s">
        <v>3935</v>
      </c>
      <c r="E1009" s="8" t="s">
        <v>3936</v>
      </c>
      <c r="F1009" s="8" t="s">
        <v>3937</v>
      </c>
      <c r="G1009" s="8" t="s">
        <v>43</v>
      </c>
      <c r="H1009" s="8" t="s">
        <v>1573</v>
      </c>
      <c r="I1009" s="8" t="s">
        <v>137</v>
      </c>
      <c r="J1009" s="8" t="s">
        <v>3938</v>
      </c>
      <c r="K1009" s="8" t="s">
        <v>670</v>
      </c>
      <c r="L1009" s="6"/>
      <c r="M1009" s="7">
        <v>46108</v>
      </c>
      <c r="N1009" s="7" t="s">
        <v>3939</v>
      </c>
      <c r="O1009" s="7" t="s">
        <v>3940</v>
      </c>
      <c r="P1009" s="6" t="s">
        <v>62</v>
      </c>
      <c r="Q1009" s="8" t="s">
        <v>3941</v>
      </c>
      <c r="R1009" t="str">
        <f>HYPERLINK("https://docs.wto.org/imrd/directdoc.asp?DDFDocuments/t/G/TBTN26/GBR113.docx", "https://docs.wto.org/imrd/directdoc.asp?DDFDocuments/t/G/TBTN26/GBR113.docx")</f>
        <v>https://docs.wto.org/imrd/directdoc.asp?DDFDocuments/t/G/TBTN26/GBR113.docx</v>
      </c>
      <c r="S1009" t="str">
        <f>HYPERLINK("https://docs.wto.org/imrd/directdoc.asp?DDFDocuments/u/G/TBTN26/GBR113.docx", "https://docs.wto.org/imrd/directdoc.asp?DDFDocuments/u/G/TBTN26/GBR113.docx")</f>
        <v>https://docs.wto.org/imrd/directdoc.asp?DDFDocuments/u/G/TBTN26/GBR113.docx</v>
      </c>
      <c r="T1009" t="str">
        <f>HYPERLINK("https://docs.wto.org/imrd/directdoc.asp?DDFDocuments/v/G/TBTN26/GBR113.docx", "https://docs.wto.org/imrd/directdoc.asp?DDFDocuments/v/G/TBTN26/GBR113.docx")</f>
        <v>https://docs.wto.org/imrd/directdoc.asp?DDFDocuments/v/G/TBTN26/GBR113.docx</v>
      </c>
      <c r="U1009" t="s">
        <v>64</v>
      </c>
      <c r="V1009" t="s">
        <v>46</v>
      </c>
      <c r="W1009" t="s">
        <v>46</v>
      </c>
      <c r="X1009" t="s">
        <v>46</v>
      </c>
      <c r="Y1009" t="s">
        <v>46</v>
      </c>
      <c r="Z1009" t="s">
        <v>46</v>
      </c>
      <c r="AA1009" t="s">
        <v>46</v>
      </c>
      <c r="AB1009" s="2" t="s">
        <v>3942</v>
      </c>
      <c r="AC1009" t="s">
        <v>43</v>
      </c>
      <c r="AD1009" t="s">
        <v>43</v>
      </c>
      <c r="AE1009" t="s">
        <v>43</v>
      </c>
      <c r="AF1009" t="s">
        <v>43</v>
      </c>
      <c r="AG1009" t="s">
        <v>43</v>
      </c>
      <c r="AH1009" s="2" t="s">
        <v>43</v>
      </c>
    </row>
    <row r="1010" spans="1:34" ht="30">
      <c r="A1010" s="6" t="s">
        <v>289</v>
      </c>
      <c r="B1010" s="7">
        <v>46048</v>
      </c>
      <c r="C1010" s="9" t="str">
        <f>HYPERLINK("https://eping.wto.org/en/Search?viewData= G/TBT/N/BRA/1619"," G/TBT/N/BRA/1619")</f>
        <v xml:space="preserve"> G/TBT/N/BRA/1619</v>
      </c>
      <c r="D1010" s="8" t="s">
        <v>3943</v>
      </c>
      <c r="E1010" s="8" t="s">
        <v>3944</v>
      </c>
      <c r="F1010" s="8" t="s">
        <v>3945</v>
      </c>
      <c r="G1010" s="8" t="s">
        <v>43</v>
      </c>
      <c r="H1010" s="8" t="s">
        <v>43</v>
      </c>
      <c r="I1010" s="8" t="s">
        <v>129</v>
      </c>
      <c r="J1010" s="8" t="s">
        <v>43</v>
      </c>
      <c r="K1010" s="8" t="s">
        <v>43</v>
      </c>
      <c r="L1010" s="6"/>
      <c r="M1010" s="7">
        <v>46066</v>
      </c>
      <c r="N1010" s="7" t="s">
        <v>79</v>
      </c>
      <c r="O1010" s="7" t="s">
        <v>79</v>
      </c>
      <c r="P1010" s="6" t="s">
        <v>62</v>
      </c>
      <c r="Q1010" s="8" t="s">
        <v>3946</v>
      </c>
      <c r="R1010" t="str">
        <f>HYPERLINK("https://docs.wto.org/imrd/directdoc.asp?DDFDocuments/t/G/TBTN26/BRA1619.docx", "https://docs.wto.org/imrd/directdoc.asp?DDFDocuments/t/G/TBTN26/BRA1619.docx")</f>
        <v>https://docs.wto.org/imrd/directdoc.asp?DDFDocuments/t/G/TBTN26/BRA1619.docx</v>
      </c>
      <c r="S1010" t="str">
        <f>HYPERLINK("https://docs.wto.org/imrd/directdoc.asp?DDFDocuments/u/G/TBTN26/BRA1619.docx", "https://docs.wto.org/imrd/directdoc.asp?DDFDocuments/u/G/TBTN26/BRA1619.docx")</f>
        <v>https://docs.wto.org/imrd/directdoc.asp?DDFDocuments/u/G/TBTN26/BRA1619.docx</v>
      </c>
      <c r="T1010" t="str">
        <f>HYPERLINK("https://docs.wto.org/imrd/directdoc.asp?DDFDocuments/v/G/TBTN26/BRA1619.docx", "https://docs.wto.org/imrd/directdoc.asp?DDFDocuments/v/G/TBTN26/BRA1619.docx")</f>
        <v>https://docs.wto.org/imrd/directdoc.asp?DDFDocuments/v/G/TBTN26/BRA1619.docx</v>
      </c>
      <c r="U1010" t="s">
        <v>64</v>
      </c>
      <c r="V1010" t="s">
        <v>46</v>
      </c>
      <c r="W1010" t="s">
        <v>46</v>
      </c>
      <c r="X1010" t="s">
        <v>46</v>
      </c>
      <c r="Y1010" t="s">
        <v>46</v>
      </c>
      <c r="Z1010" t="s">
        <v>46</v>
      </c>
      <c r="AA1010" t="s">
        <v>46</v>
      </c>
      <c r="AB1010" s="2" t="s">
        <v>3947</v>
      </c>
      <c r="AC1010" t="s">
        <v>43</v>
      </c>
      <c r="AD1010" t="s">
        <v>43</v>
      </c>
      <c r="AE1010" t="s">
        <v>43</v>
      </c>
      <c r="AF1010" t="s">
        <v>43</v>
      </c>
      <c r="AG1010" t="s">
        <v>43</v>
      </c>
      <c r="AH1010" s="2" t="s">
        <v>43</v>
      </c>
    </row>
    <row r="1011" spans="1:34" ht="90">
      <c r="A1011" s="6" t="s">
        <v>89</v>
      </c>
      <c r="B1011" s="7">
        <v>46048</v>
      </c>
      <c r="C1011" s="9" t="str">
        <f>HYPERLINK("https://eping.wto.org/en/Search?viewData= G/SPS/N/CRI/341/Add.1"," G/SPS/N/CRI/341/Add.1")</f>
        <v xml:space="preserve"> G/SPS/N/CRI/341/Add.1</v>
      </c>
      <c r="D1011" s="8" t="s">
        <v>3948</v>
      </c>
      <c r="E1011" s="8" t="s">
        <v>3948</v>
      </c>
      <c r="F1011" s="8" t="s">
        <v>3949</v>
      </c>
      <c r="G1011" s="8" t="s">
        <v>1710</v>
      </c>
      <c r="H1011" s="8" t="s">
        <v>43</v>
      </c>
      <c r="I1011" s="8" t="s">
        <v>94</v>
      </c>
      <c r="J1011" s="8" t="s">
        <v>43</v>
      </c>
      <c r="K1011" s="8" t="s">
        <v>203</v>
      </c>
      <c r="L1011" s="6"/>
      <c r="M1011" s="7" t="s">
        <v>43</v>
      </c>
      <c r="N1011" s="7"/>
      <c r="O1011" s="7"/>
      <c r="P1011" s="6" t="s">
        <v>44</v>
      </c>
      <c r="Q1011" s="8" t="s">
        <v>3950</v>
      </c>
      <c r="R1011" t="str">
        <f>HYPERLINK("https://docs.wto.org/imrd/directdoc.asp?DDFDocuments/t/G/SPS/NCRI341A1.docx", "https://docs.wto.org/imrd/directdoc.asp?DDFDocuments/t/G/SPS/NCRI341A1.docx")</f>
        <v>https://docs.wto.org/imrd/directdoc.asp?DDFDocuments/t/G/SPS/NCRI341A1.docx</v>
      </c>
      <c r="S1011" t="str">
        <f>HYPERLINK("https://docs.wto.org/imrd/directdoc.asp?DDFDocuments/u/G/SPS/NCRI341A1.docx", "https://docs.wto.org/imrd/directdoc.asp?DDFDocuments/u/G/SPS/NCRI341A1.docx")</f>
        <v>https://docs.wto.org/imrd/directdoc.asp?DDFDocuments/u/G/SPS/NCRI341A1.docx</v>
      </c>
      <c r="T1011" t="str">
        <f>HYPERLINK("https://docs.wto.org/imrd/directdoc.asp?DDFDocuments/v/G/SPS/NCRI341A1.docx", "https://docs.wto.org/imrd/directdoc.asp?DDFDocuments/v/G/SPS/NCRI341A1.docx")</f>
        <v>https://docs.wto.org/imrd/directdoc.asp?DDFDocuments/v/G/SPS/NCRI341A1.docx</v>
      </c>
      <c r="U1011" t="s">
        <v>43</v>
      </c>
      <c r="V1011" t="s">
        <v>43</v>
      </c>
      <c r="W1011" t="s">
        <v>43</v>
      </c>
      <c r="X1011" t="s">
        <v>43</v>
      </c>
      <c r="Y1011" t="s">
        <v>43</v>
      </c>
      <c r="Z1011" t="s">
        <v>43</v>
      </c>
      <c r="AA1011" t="s">
        <v>43</v>
      </c>
      <c r="AB1011" s="2" t="s">
        <v>43</v>
      </c>
      <c r="AC1011" t="s">
        <v>43</v>
      </c>
      <c r="AD1011" t="s">
        <v>43</v>
      </c>
      <c r="AE1011" t="s">
        <v>43</v>
      </c>
      <c r="AF1011" t="s">
        <v>43</v>
      </c>
      <c r="AG1011" t="s">
        <v>43</v>
      </c>
      <c r="AH1011" s="2" t="s">
        <v>43</v>
      </c>
    </row>
    <row r="1012" spans="1:34" ht="105">
      <c r="A1012" s="6" t="s">
        <v>289</v>
      </c>
      <c r="B1012" s="7">
        <v>46048</v>
      </c>
      <c r="C1012" s="9" t="str">
        <f>HYPERLINK("https://eping.wto.org/en/Search?viewData= G/SPS/N/BRA/2377/Add.1"," G/SPS/N/BRA/2377/Add.1")</f>
        <v xml:space="preserve"> G/SPS/N/BRA/2377/Add.1</v>
      </c>
      <c r="D1012" s="8" t="s">
        <v>3951</v>
      </c>
      <c r="E1012" s="8" t="s">
        <v>3952</v>
      </c>
      <c r="F1012" s="8" t="s">
        <v>3953</v>
      </c>
      <c r="G1012" s="8" t="s">
        <v>3954</v>
      </c>
      <c r="H1012" s="8" t="s">
        <v>43</v>
      </c>
      <c r="I1012" s="8" t="s">
        <v>94</v>
      </c>
      <c r="J1012" s="8" t="s">
        <v>43</v>
      </c>
      <c r="K1012" s="8" t="s">
        <v>2984</v>
      </c>
      <c r="L1012" s="6"/>
      <c r="M1012" s="7" t="s">
        <v>43</v>
      </c>
      <c r="N1012" s="7"/>
      <c r="O1012" s="7"/>
      <c r="P1012" s="6" t="s">
        <v>44</v>
      </c>
      <c r="Q1012" s="8" t="s">
        <v>3955</v>
      </c>
      <c r="R1012" t="str">
        <f>HYPERLINK("https://docs.wto.org/imrd/directdoc.asp?DDFDocuments/t/G/SPS/NBRA2377A1.docx", "https://docs.wto.org/imrd/directdoc.asp?DDFDocuments/t/G/SPS/NBRA2377A1.docx")</f>
        <v>https://docs.wto.org/imrd/directdoc.asp?DDFDocuments/t/G/SPS/NBRA2377A1.docx</v>
      </c>
      <c r="S1012" t="str">
        <f>HYPERLINK("https://docs.wto.org/imrd/directdoc.asp?DDFDocuments/u/G/SPS/NBRA2377A1.docx", "https://docs.wto.org/imrd/directdoc.asp?DDFDocuments/u/G/SPS/NBRA2377A1.docx")</f>
        <v>https://docs.wto.org/imrd/directdoc.asp?DDFDocuments/u/G/SPS/NBRA2377A1.docx</v>
      </c>
      <c r="T1012" t="str">
        <f>HYPERLINK("https://docs.wto.org/imrd/directdoc.asp?DDFDocuments/v/G/SPS/NBRA2377A1.docx", "https://docs.wto.org/imrd/directdoc.asp?DDFDocuments/v/G/SPS/NBRA2377A1.docx")</f>
        <v>https://docs.wto.org/imrd/directdoc.asp?DDFDocuments/v/G/SPS/NBRA2377A1.docx</v>
      </c>
      <c r="U1012" t="s">
        <v>43</v>
      </c>
      <c r="V1012" t="s">
        <v>43</v>
      </c>
      <c r="W1012" t="s">
        <v>43</v>
      </c>
      <c r="X1012" t="s">
        <v>43</v>
      </c>
      <c r="Y1012" t="s">
        <v>43</v>
      </c>
      <c r="Z1012" t="s">
        <v>43</v>
      </c>
      <c r="AA1012" t="s">
        <v>43</v>
      </c>
      <c r="AB1012" s="2" t="s">
        <v>43</v>
      </c>
      <c r="AC1012" t="s">
        <v>43</v>
      </c>
      <c r="AD1012" t="s">
        <v>43</v>
      </c>
      <c r="AE1012" t="s">
        <v>43</v>
      </c>
      <c r="AF1012" t="s">
        <v>43</v>
      </c>
      <c r="AG1012" t="s">
        <v>43</v>
      </c>
      <c r="AH1012" s="2" t="s">
        <v>43</v>
      </c>
    </row>
    <row r="1013" spans="1:34" ht="120">
      <c r="A1013" s="6" t="s">
        <v>47</v>
      </c>
      <c r="B1013" s="7">
        <v>46048</v>
      </c>
      <c r="C1013" s="9" t="str">
        <f>HYPERLINK("https://eping.wto.org/en/Search?viewData= G/SPS/N/CAN/1630"," G/SPS/N/CAN/1630")</f>
        <v xml:space="preserve"> G/SPS/N/CAN/1630</v>
      </c>
      <c r="D1013" s="8" t="s">
        <v>3956</v>
      </c>
      <c r="E1013" s="8" t="s">
        <v>3957</v>
      </c>
      <c r="F1013" s="8" t="s">
        <v>3958</v>
      </c>
      <c r="G1013" s="8" t="s">
        <v>43</v>
      </c>
      <c r="H1013" s="8" t="s">
        <v>1134</v>
      </c>
      <c r="I1013" s="8" t="s">
        <v>58</v>
      </c>
      <c r="J1013" s="8" t="s">
        <v>43</v>
      </c>
      <c r="K1013" s="8" t="s">
        <v>1061</v>
      </c>
      <c r="L1013" s="6" t="s">
        <v>43</v>
      </c>
      <c r="M1013" s="7">
        <v>46117</v>
      </c>
      <c r="N1013" s="7" t="s">
        <v>1062</v>
      </c>
      <c r="O1013" s="7" t="s">
        <v>1063</v>
      </c>
      <c r="P1013" s="6" t="s">
        <v>62</v>
      </c>
      <c r="Q1013" s="6"/>
      <c r="R1013" t="str">
        <f>HYPERLINK("https://docs.wto.org/imrd/directdoc.asp?DDFDocuments/t/G/SPS/NCAN1630.docx", "https://docs.wto.org/imrd/directdoc.asp?DDFDocuments/t/G/SPS/NCAN1630.docx")</f>
        <v>https://docs.wto.org/imrd/directdoc.asp?DDFDocuments/t/G/SPS/NCAN1630.docx</v>
      </c>
      <c r="S1013" t="str">
        <f>HYPERLINK("https://docs.wto.org/imrd/directdoc.asp?DDFDocuments/u/G/SPS/NCAN1630.docx", "https://docs.wto.org/imrd/directdoc.asp?DDFDocuments/u/G/SPS/NCAN1630.docx")</f>
        <v>https://docs.wto.org/imrd/directdoc.asp?DDFDocuments/u/G/SPS/NCAN1630.docx</v>
      </c>
      <c r="T1013" t="str">
        <f>HYPERLINK("https://docs.wto.org/imrd/directdoc.asp?DDFDocuments/v/G/SPS/NCAN1630.docx", "https://docs.wto.org/imrd/directdoc.asp?DDFDocuments/v/G/SPS/NCAN1630.docx")</f>
        <v>https://docs.wto.org/imrd/directdoc.asp?DDFDocuments/v/G/SPS/NCAN1630.docx</v>
      </c>
      <c r="U1013" t="s">
        <v>43</v>
      </c>
      <c r="V1013" t="s">
        <v>43</v>
      </c>
      <c r="W1013" t="s">
        <v>43</v>
      </c>
      <c r="X1013" t="s">
        <v>43</v>
      </c>
      <c r="Y1013" t="s">
        <v>43</v>
      </c>
      <c r="Z1013" t="s">
        <v>43</v>
      </c>
      <c r="AA1013" t="s">
        <v>43</v>
      </c>
      <c r="AB1013" s="2" t="s">
        <v>43</v>
      </c>
      <c r="AC1013" t="s">
        <v>64</v>
      </c>
      <c r="AD1013" t="s">
        <v>46</v>
      </c>
      <c r="AE1013" t="s">
        <v>46</v>
      </c>
      <c r="AF1013" t="s">
        <v>46</v>
      </c>
      <c r="AG1013" t="s">
        <v>46</v>
      </c>
      <c r="AH1013" s="2" t="s">
        <v>3959</v>
      </c>
    </row>
    <row r="1014" spans="1:34" ht="60">
      <c r="A1014" s="6" t="s">
        <v>303</v>
      </c>
      <c r="B1014" s="7">
        <v>46048</v>
      </c>
      <c r="C1014" s="9" t="str">
        <f>HYPERLINK("https://eping.wto.org/en/Search?viewData= G/TBT/N/KOR/1338"," G/TBT/N/KOR/1338")</f>
        <v xml:space="preserve"> G/TBT/N/KOR/1338</v>
      </c>
      <c r="D1014" s="8" t="s">
        <v>3363</v>
      </c>
      <c r="E1014" s="8" t="s">
        <v>3960</v>
      </c>
      <c r="F1014" s="8" t="s">
        <v>3961</v>
      </c>
      <c r="G1014" s="8" t="s">
        <v>43</v>
      </c>
      <c r="H1014" s="8" t="s">
        <v>3962</v>
      </c>
      <c r="I1014" s="8" t="s">
        <v>1477</v>
      </c>
      <c r="J1014" s="8" t="s">
        <v>3963</v>
      </c>
      <c r="K1014" s="8" t="s">
        <v>43</v>
      </c>
      <c r="L1014" s="6"/>
      <c r="M1014" s="7">
        <v>46108</v>
      </c>
      <c r="N1014" s="7" t="s">
        <v>79</v>
      </c>
      <c r="O1014" s="7" t="s">
        <v>79</v>
      </c>
      <c r="P1014" s="6" t="s">
        <v>62</v>
      </c>
      <c r="Q1014" s="8" t="s">
        <v>3964</v>
      </c>
      <c r="R1014" t="str">
        <f>HYPERLINK("https://docs.wto.org/imrd/directdoc.asp?DDFDocuments/t/G/TBTN26/KOR1338.docx", "https://docs.wto.org/imrd/directdoc.asp?DDFDocuments/t/G/TBTN26/KOR1338.docx")</f>
        <v>https://docs.wto.org/imrd/directdoc.asp?DDFDocuments/t/G/TBTN26/KOR1338.docx</v>
      </c>
      <c r="S1014" t="str">
        <f>HYPERLINK("https://docs.wto.org/imrd/directdoc.asp?DDFDocuments/u/G/TBTN26/KOR1338.docx", "https://docs.wto.org/imrd/directdoc.asp?DDFDocuments/u/G/TBTN26/KOR1338.docx")</f>
        <v>https://docs.wto.org/imrd/directdoc.asp?DDFDocuments/u/G/TBTN26/KOR1338.docx</v>
      </c>
      <c r="T1014" t="str">
        <f>HYPERLINK("https://docs.wto.org/imrd/directdoc.asp?DDFDocuments/v/G/TBTN26/KOR1338.docx", "https://docs.wto.org/imrd/directdoc.asp?DDFDocuments/v/G/TBTN26/KOR1338.docx")</f>
        <v>https://docs.wto.org/imrd/directdoc.asp?DDFDocuments/v/G/TBTN26/KOR1338.docx</v>
      </c>
      <c r="U1014" t="s">
        <v>64</v>
      </c>
      <c r="V1014" t="s">
        <v>46</v>
      </c>
      <c r="W1014" t="s">
        <v>46</v>
      </c>
      <c r="X1014" t="s">
        <v>46</v>
      </c>
      <c r="Y1014" t="s">
        <v>46</v>
      </c>
      <c r="Z1014" t="s">
        <v>46</v>
      </c>
      <c r="AA1014" t="s">
        <v>46</v>
      </c>
      <c r="AB1014" s="2" t="s">
        <v>3965</v>
      </c>
      <c r="AC1014" t="s">
        <v>43</v>
      </c>
      <c r="AD1014" t="s">
        <v>43</v>
      </c>
      <c r="AE1014" t="s">
        <v>43</v>
      </c>
      <c r="AF1014" t="s">
        <v>43</v>
      </c>
      <c r="AG1014" t="s">
        <v>43</v>
      </c>
      <c r="AH1014" s="2" t="s">
        <v>43</v>
      </c>
    </row>
    <row r="1015" spans="1:34" ht="105">
      <c r="A1015" s="6" t="s">
        <v>89</v>
      </c>
      <c r="B1015" s="7">
        <v>46048</v>
      </c>
      <c r="C1015" s="9" t="str">
        <f>HYPERLINK("https://eping.wto.org/en/Search?viewData= G/SPS/N/CRI/342/Add.1"," G/SPS/N/CRI/342/Add.1")</f>
        <v xml:space="preserve"> G/SPS/N/CRI/342/Add.1</v>
      </c>
      <c r="D1015" s="8" t="s">
        <v>3966</v>
      </c>
      <c r="E1015" s="8" t="s">
        <v>3966</v>
      </c>
      <c r="F1015" s="8" t="s">
        <v>3967</v>
      </c>
      <c r="G1015" s="8" t="s">
        <v>1710</v>
      </c>
      <c r="H1015" s="8" t="s">
        <v>43</v>
      </c>
      <c r="I1015" s="8" t="s">
        <v>94</v>
      </c>
      <c r="J1015" s="8" t="s">
        <v>43</v>
      </c>
      <c r="K1015" s="8" t="s">
        <v>2984</v>
      </c>
      <c r="L1015" s="6"/>
      <c r="M1015" s="7" t="s">
        <v>43</v>
      </c>
      <c r="N1015" s="7"/>
      <c r="O1015" s="7"/>
      <c r="P1015" s="6" t="s">
        <v>44</v>
      </c>
      <c r="Q1015" s="8" t="s">
        <v>3968</v>
      </c>
      <c r="R1015" t="str">
        <f>HYPERLINK("https://docs.wto.org/imrd/directdoc.asp?DDFDocuments/t/G/SPS/NCRI342A1.docx", "https://docs.wto.org/imrd/directdoc.asp?DDFDocuments/t/G/SPS/NCRI342A1.docx")</f>
        <v>https://docs.wto.org/imrd/directdoc.asp?DDFDocuments/t/G/SPS/NCRI342A1.docx</v>
      </c>
      <c r="S1015" t="str">
        <f>HYPERLINK("https://docs.wto.org/imrd/directdoc.asp?DDFDocuments/u/G/SPS/NCRI342A1.docx", "https://docs.wto.org/imrd/directdoc.asp?DDFDocuments/u/G/SPS/NCRI342A1.docx")</f>
        <v>https://docs.wto.org/imrd/directdoc.asp?DDFDocuments/u/G/SPS/NCRI342A1.docx</v>
      </c>
      <c r="T1015" t="str">
        <f>HYPERLINK("https://docs.wto.org/imrd/directdoc.asp?DDFDocuments/v/G/SPS/NCRI342A1.docx", "https://docs.wto.org/imrd/directdoc.asp?DDFDocuments/v/G/SPS/NCRI342A1.docx")</f>
        <v>https://docs.wto.org/imrd/directdoc.asp?DDFDocuments/v/G/SPS/NCRI342A1.docx</v>
      </c>
      <c r="U1015" t="s">
        <v>43</v>
      </c>
      <c r="V1015" t="s">
        <v>43</v>
      </c>
      <c r="W1015" t="s">
        <v>43</v>
      </c>
      <c r="X1015" t="s">
        <v>43</v>
      </c>
      <c r="Y1015" t="s">
        <v>43</v>
      </c>
      <c r="Z1015" t="s">
        <v>43</v>
      </c>
      <c r="AA1015" t="s">
        <v>43</v>
      </c>
      <c r="AB1015" s="2" t="s">
        <v>43</v>
      </c>
      <c r="AC1015" t="s">
        <v>43</v>
      </c>
      <c r="AD1015" t="s">
        <v>43</v>
      </c>
      <c r="AE1015" t="s">
        <v>43</v>
      </c>
      <c r="AF1015" t="s">
        <v>43</v>
      </c>
      <c r="AG1015" t="s">
        <v>43</v>
      </c>
      <c r="AH1015" s="2" t="s">
        <v>43</v>
      </c>
    </row>
    <row r="1016" spans="1:34" ht="105">
      <c r="A1016" s="6" t="s">
        <v>132</v>
      </c>
      <c r="B1016" s="7">
        <v>46048</v>
      </c>
      <c r="C1016" s="9" t="str">
        <f>HYPERLINK("https://eping.wto.org/en/Search?viewData= G/TBT/N/USA/2258"," G/TBT/N/USA/2258")</f>
        <v xml:space="preserve"> G/TBT/N/USA/2258</v>
      </c>
      <c r="D1016" s="8" t="s">
        <v>3969</v>
      </c>
      <c r="E1016" s="8" t="s">
        <v>3970</v>
      </c>
      <c r="F1016" s="8" t="s">
        <v>3971</v>
      </c>
      <c r="G1016" s="8" t="s">
        <v>43</v>
      </c>
      <c r="H1016" s="8" t="s">
        <v>3972</v>
      </c>
      <c r="I1016" s="8" t="s">
        <v>3973</v>
      </c>
      <c r="J1016" s="8" t="s">
        <v>43</v>
      </c>
      <c r="K1016" s="8" t="s">
        <v>350</v>
      </c>
      <c r="L1016" s="6"/>
      <c r="M1016" s="7">
        <v>46083</v>
      </c>
      <c r="N1016" s="7" t="s">
        <v>79</v>
      </c>
      <c r="O1016" s="7" t="s">
        <v>79</v>
      </c>
      <c r="P1016" s="6" t="s">
        <v>62</v>
      </c>
      <c r="Q1016" s="8" t="s">
        <v>3974</v>
      </c>
      <c r="R1016" t="str">
        <f>HYPERLINK("https://docs.wto.org/imrd/directdoc.asp?DDFDocuments/t/G/TBTN26/USA2258.docx", "https://docs.wto.org/imrd/directdoc.asp?DDFDocuments/t/G/TBTN26/USA2258.docx")</f>
        <v>https://docs.wto.org/imrd/directdoc.asp?DDFDocuments/t/G/TBTN26/USA2258.docx</v>
      </c>
      <c r="S1016" t="str">
        <f>HYPERLINK("https://docs.wto.org/imrd/directdoc.asp?DDFDocuments/u/G/TBTN26/USA2258.docx", "https://docs.wto.org/imrd/directdoc.asp?DDFDocuments/u/G/TBTN26/USA2258.docx")</f>
        <v>https://docs.wto.org/imrd/directdoc.asp?DDFDocuments/u/G/TBTN26/USA2258.docx</v>
      </c>
      <c r="T1016" t="str">
        <f>HYPERLINK("https://docs.wto.org/imrd/directdoc.asp?DDFDocuments/v/G/TBTN26/USA2258.docx", "https://docs.wto.org/imrd/directdoc.asp?DDFDocuments/v/G/TBTN26/USA2258.docx")</f>
        <v>https://docs.wto.org/imrd/directdoc.asp?DDFDocuments/v/G/TBTN26/USA2258.docx</v>
      </c>
      <c r="U1016" t="s">
        <v>46</v>
      </c>
      <c r="V1016" t="s">
        <v>46</v>
      </c>
      <c r="W1016" t="s">
        <v>46</v>
      </c>
      <c r="X1016" t="s">
        <v>46</v>
      </c>
      <c r="Y1016" t="s">
        <v>64</v>
      </c>
      <c r="Z1016" t="s">
        <v>46</v>
      </c>
      <c r="AA1016" t="s">
        <v>46</v>
      </c>
      <c r="AB1016" s="2" t="s">
        <v>3975</v>
      </c>
      <c r="AC1016" t="s">
        <v>43</v>
      </c>
      <c r="AD1016" t="s">
        <v>43</v>
      </c>
      <c r="AE1016" t="s">
        <v>43</v>
      </c>
      <c r="AF1016" t="s">
        <v>43</v>
      </c>
      <c r="AG1016" t="s">
        <v>43</v>
      </c>
      <c r="AH1016" s="2" t="s">
        <v>43</v>
      </c>
    </row>
    <row r="1017" spans="1:34" ht="120">
      <c r="A1017" s="6" t="s">
        <v>338</v>
      </c>
      <c r="B1017" s="7">
        <v>46048</v>
      </c>
      <c r="C1017" s="9" t="str">
        <f>HYPERLINK("https://eping.wto.org/en/Search?viewData= G/SPS/N/SAU/602/Add.1"," G/SPS/N/SAU/602/Add.1")</f>
        <v xml:space="preserve"> G/SPS/N/SAU/602/Add.1</v>
      </c>
      <c r="D1017" s="8" t="s">
        <v>3976</v>
      </c>
      <c r="E1017" s="8" t="s">
        <v>3977</v>
      </c>
      <c r="F1017" s="8" t="s">
        <v>1682</v>
      </c>
      <c r="G1017" s="8" t="s">
        <v>43</v>
      </c>
      <c r="H1017" s="8" t="s">
        <v>43</v>
      </c>
      <c r="I1017" s="8" t="s">
        <v>361</v>
      </c>
      <c r="J1017" s="8" t="s">
        <v>43</v>
      </c>
      <c r="K1017" s="8" t="s">
        <v>3978</v>
      </c>
      <c r="L1017" s="6"/>
      <c r="M1017" s="7" t="s">
        <v>43</v>
      </c>
      <c r="N1017" s="7"/>
      <c r="O1017" s="7"/>
      <c r="P1017" s="6" t="s">
        <v>72</v>
      </c>
      <c r="Q1017" s="8" t="s">
        <v>3979</v>
      </c>
      <c r="R1017" t="str">
        <f>HYPERLINK("https://docs.wto.org/imrd/directdoc.asp?DDFDocuments/t/G/SPS/NSAU602A1.docx", "https://docs.wto.org/imrd/directdoc.asp?DDFDocuments/t/G/SPS/NSAU602A1.docx")</f>
        <v>https://docs.wto.org/imrd/directdoc.asp?DDFDocuments/t/G/SPS/NSAU602A1.docx</v>
      </c>
      <c r="S1017" t="str">
        <f>HYPERLINK("https://docs.wto.org/imrd/directdoc.asp?DDFDocuments/u/G/SPS/NSAU602A1.docx", "https://docs.wto.org/imrd/directdoc.asp?DDFDocuments/u/G/SPS/NSAU602A1.docx")</f>
        <v>https://docs.wto.org/imrd/directdoc.asp?DDFDocuments/u/G/SPS/NSAU602A1.docx</v>
      </c>
      <c r="T1017" t="str">
        <f>HYPERLINK("https://docs.wto.org/imrd/directdoc.asp?DDFDocuments/v/G/SPS/NSAU602A1.docx", "https://docs.wto.org/imrd/directdoc.asp?DDFDocuments/v/G/SPS/NSAU602A1.docx")</f>
        <v>https://docs.wto.org/imrd/directdoc.asp?DDFDocuments/v/G/SPS/NSAU602A1.docx</v>
      </c>
      <c r="U1017" t="s">
        <v>43</v>
      </c>
      <c r="V1017" t="s">
        <v>43</v>
      </c>
      <c r="W1017" t="s">
        <v>43</v>
      </c>
      <c r="X1017" t="s">
        <v>43</v>
      </c>
      <c r="Y1017" t="s">
        <v>43</v>
      </c>
      <c r="Z1017" t="s">
        <v>43</v>
      </c>
      <c r="AA1017" t="s">
        <v>43</v>
      </c>
      <c r="AB1017" s="2" t="s">
        <v>43</v>
      </c>
      <c r="AC1017" t="s">
        <v>43</v>
      </c>
      <c r="AD1017" t="s">
        <v>43</v>
      </c>
      <c r="AE1017" t="s">
        <v>43</v>
      </c>
      <c r="AF1017" t="s">
        <v>43</v>
      </c>
      <c r="AG1017" t="s">
        <v>43</v>
      </c>
      <c r="AH1017" s="2" t="s">
        <v>43</v>
      </c>
    </row>
    <row r="1018" spans="1:34" ht="45">
      <c r="A1018" s="6" t="s">
        <v>289</v>
      </c>
      <c r="B1018" s="7">
        <v>46048</v>
      </c>
      <c r="C1018" s="9" t="str">
        <f>HYPERLINK("https://eping.wto.org/en/Search?viewData= G/TBT/N/BRA/1616/Corr.3"," G/TBT/N/BRA/1616/Corr.3")</f>
        <v xml:space="preserve"> G/TBT/N/BRA/1616/Corr.3</v>
      </c>
      <c r="D1018" s="8" t="s">
        <v>3980</v>
      </c>
      <c r="E1018" s="8" t="s">
        <v>3981</v>
      </c>
      <c r="F1018" s="8" t="s">
        <v>3982</v>
      </c>
      <c r="G1018" s="8" t="s">
        <v>43</v>
      </c>
      <c r="H1018" s="8" t="s">
        <v>43</v>
      </c>
      <c r="I1018" s="8" t="s">
        <v>129</v>
      </c>
      <c r="J1018" s="8" t="s">
        <v>3983</v>
      </c>
      <c r="K1018" s="8" t="s">
        <v>43</v>
      </c>
      <c r="L1018" s="6"/>
      <c r="M1018" s="7" t="s">
        <v>43</v>
      </c>
      <c r="N1018" s="7"/>
      <c r="O1018" s="7"/>
      <c r="P1018" s="6" t="s">
        <v>296</v>
      </c>
      <c r="Q1018" s="6"/>
      <c r="R1018" t="str">
        <f>HYPERLINK("https://docs.wto.org/imrd/directdoc.asp?DDFDocuments/t/G/TBTN26/BRA1616C3.docx", "https://docs.wto.org/imrd/directdoc.asp?DDFDocuments/t/G/TBTN26/BRA1616C3.docx")</f>
        <v>https://docs.wto.org/imrd/directdoc.asp?DDFDocuments/t/G/TBTN26/BRA1616C3.docx</v>
      </c>
      <c r="S1018" t="str">
        <f>HYPERLINK("https://docs.wto.org/imrd/directdoc.asp?DDFDocuments/u/G/TBTN26/BRA1616C3.docx", "https://docs.wto.org/imrd/directdoc.asp?DDFDocuments/u/G/TBTN26/BRA1616C3.docx")</f>
        <v>https://docs.wto.org/imrd/directdoc.asp?DDFDocuments/u/G/TBTN26/BRA1616C3.docx</v>
      </c>
      <c r="T1018" t="str">
        <f>HYPERLINK("https://docs.wto.org/imrd/directdoc.asp?DDFDocuments/v/G/TBTN26/BRA1616C3.docx", "https://docs.wto.org/imrd/directdoc.asp?DDFDocuments/v/G/TBTN26/BRA1616C3.docx")</f>
        <v>https://docs.wto.org/imrd/directdoc.asp?DDFDocuments/v/G/TBTN26/BRA1616C3.docx</v>
      </c>
      <c r="U1018" t="s">
        <v>46</v>
      </c>
      <c r="V1018" t="s">
        <v>46</v>
      </c>
      <c r="W1018" t="s">
        <v>46</v>
      </c>
      <c r="X1018" t="s">
        <v>46</v>
      </c>
      <c r="Y1018" t="s">
        <v>46</v>
      </c>
      <c r="Z1018" t="s">
        <v>46</v>
      </c>
      <c r="AA1018" t="s">
        <v>46</v>
      </c>
      <c r="AB1018" s="2" t="s">
        <v>43</v>
      </c>
      <c r="AC1018" t="s">
        <v>43</v>
      </c>
      <c r="AD1018" t="s">
        <v>43</v>
      </c>
      <c r="AE1018" t="s">
        <v>43</v>
      </c>
      <c r="AF1018" t="s">
        <v>43</v>
      </c>
      <c r="AG1018" t="s">
        <v>43</v>
      </c>
      <c r="AH1018" s="2" t="s">
        <v>43</v>
      </c>
    </row>
    <row r="1019" spans="1:34" ht="30">
      <c r="A1019" s="6" t="s">
        <v>289</v>
      </c>
      <c r="B1019" s="7">
        <v>46048</v>
      </c>
      <c r="C1019" s="9" t="str">
        <f>HYPERLINK("https://eping.wto.org/en/Search?viewData= G/SPS/N/BRA/2409/Add.1"," G/SPS/N/BRA/2409/Add.1")</f>
        <v xml:space="preserve"> G/SPS/N/BRA/2409/Add.1</v>
      </c>
      <c r="D1019" s="8" t="s">
        <v>3984</v>
      </c>
      <c r="E1019" s="8" t="s">
        <v>3985</v>
      </c>
      <c r="F1019" s="8" t="s">
        <v>3986</v>
      </c>
      <c r="G1019" s="8" t="s">
        <v>43</v>
      </c>
      <c r="H1019" s="8" t="s">
        <v>43</v>
      </c>
      <c r="I1019" s="8" t="s">
        <v>94</v>
      </c>
      <c r="J1019" s="8" t="s">
        <v>43</v>
      </c>
      <c r="K1019" s="8" t="s">
        <v>2984</v>
      </c>
      <c r="L1019" s="6"/>
      <c r="M1019" s="7" t="s">
        <v>43</v>
      </c>
      <c r="N1019" s="7"/>
      <c r="O1019" s="7"/>
      <c r="P1019" s="6" t="s">
        <v>44</v>
      </c>
      <c r="Q1019" s="8" t="s">
        <v>3987</v>
      </c>
      <c r="R1019" t="str">
        <f>HYPERLINK("https://docs.wto.org/imrd/directdoc.asp?DDFDocuments/t/G/SPS/NBRA2409A1.docx", "https://docs.wto.org/imrd/directdoc.asp?DDFDocuments/t/G/SPS/NBRA2409A1.docx")</f>
        <v>https://docs.wto.org/imrd/directdoc.asp?DDFDocuments/t/G/SPS/NBRA2409A1.docx</v>
      </c>
      <c r="S1019" t="str">
        <f>HYPERLINK("https://docs.wto.org/imrd/directdoc.asp?DDFDocuments/u/G/SPS/NBRA2409A1.docx", "https://docs.wto.org/imrd/directdoc.asp?DDFDocuments/u/G/SPS/NBRA2409A1.docx")</f>
        <v>https://docs.wto.org/imrd/directdoc.asp?DDFDocuments/u/G/SPS/NBRA2409A1.docx</v>
      </c>
      <c r="T1019" t="str">
        <f>HYPERLINK("https://docs.wto.org/imrd/directdoc.asp?DDFDocuments/v/G/SPS/NBRA2409A1.docx", "https://docs.wto.org/imrd/directdoc.asp?DDFDocuments/v/G/SPS/NBRA2409A1.docx")</f>
        <v>https://docs.wto.org/imrd/directdoc.asp?DDFDocuments/v/G/SPS/NBRA2409A1.docx</v>
      </c>
      <c r="U1019" t="s">
        <v>43</v>
      </c>
      <c r="V1019" t="s">
        <v>43</v>
      </c>
      <c r="W1019" t="s">
        <v>43</v>
      </c>
      <c r="X1019" t="s">
        <v>43</v>
      </c>
      <c r="Y1019" t="s">
        <v>43</v>
      </c>
      <c r="Z1019" t="s">
        <v>43</v>
      </c>
      <c r="AA1019" t="s">
        <v>43</v>
      </c>
      <c r="AB1019" s="2" t="s">
        <v>43</v>
      </c>
      <c r="AC1019" t="s">
        <v>43</v>
      </c>
      <c r="AD1019" t="s">
        <v>43</v>
      </c>
      <c r="AE1019" t="s">
        <v>43</v>
      </c>
      <c r="AF1019" t="s">
        <v>43</v>
      </c>
      <c r="AG1019" t="s">
        <v>43</v>
      </c>
      <c r="AH1019" s="2" t="s">
        <v>43</v>
      </c>
    </row>
    <row r="1020" spans="1:34" ht="120">
      <c r="A1020" s="6" t="s">
        <v>66</v>
      </c>
      <c r="B1020" s="7">
        <v>46048</v>
      </c>
      <c r="C1020" s="9" t="str">
        <f>HYPERLINK("https://eping.wto.org/en/Search?viewData= G/SPS/N/MDA/33"," G/SPS/N/MDA/33")</f>
        <v xml:space="preserve"> G/SPS/N/MDA/33</v>
      </c>
      <c r="D1020" s="8" t="s">
        <v>3988</v>
      </c>
      <c r="E1020" s="8" t="s">
        <v>3989</v>
      </c>
      <c r="F1020" s="8" t="s">
        <v>69</v>
      </c>
      <c r="G1020" s="8" t="s">
        <v>3990</v>
      </c>
      <c r="H1020" s="8" t="s">
        <v>43</v>
      </c>
      <c r="I1020" s="8" t="s">
        <v>58</v>
      </c>
      <c r="J1020" s="8" t="s">
        <v>43</v>
      </c>
      <c r="K1020" s="8" t="s">
        <v>157</v>
      </c>
      <c r="L1020" s="6" t="s">
        <v>158</v>
      </c>
      <c r="M1020" s="7" t="s">
        <v>43</v>
      </c>
      <c r="N1020" s="7"/>
      <c r="O1020" s="7" t="s">
        <v>3991</v>
      </c>
      <c r="P1020" s="6" t="s">
        <v>107</v>
      </c>
      <c r="Q1020" s="8" t="s">
        <v>3992</v>
      </c>
      <c r="R1020" t="str">
        <f>HYPERLINK("https://docs.wto.org/imrd/directdoc.asp?DDFDocuments/t/G/SPS/NMDA33.docx", "https://docs.wto.org/imrd/directdoc.asp?DDFDocuments/t/G/SPS/NMDA33.docx")</f>
        <v>https://docs.wto.org/imrd/directdoc.asp?DDFDocuments/t/G/SPS/NMDA33.docx</v>
      </c>
      <c r="S1020" t="str">
        <f>HYPERLINK("https://docs.wto.org/imrd/directdoc.asp?DDFDocuments/u/G/SPS/NMDA33.docx", "https://docs.wto.org/imrd/directdoc.asp?DDFDocuments/u/G/SPS/NMDA33.docx")</f>
        <v>https://docs.wto.org/imrd/directdoc.asp?DDFDocuments/u/G/SPS/NMDA33.docx</v>
      </c>
      <c r="T1020" t="str">
        <f>HYPERLINK("https://docs.wto.org/imrd/directdoc.asp?DDFDocuments/v/G/SPS/NMDA33.docx", "https://docs.wto.org/imrd/directdoc.asp?DDFDocuments/v/G/SPS/NMDA33.docx")</f>
        <v>https://docs.wto.org/imrd/directdoc.asp?DDFDocuments/v/G/SPS/NMDA33.docx</v>
      </c>
      <c r="U1020" t="s">
        <v>43</v>
      </c>
      <c r="V1020" t="s">
        <v>43</v>
      </c>
      <c r="W1020" t="s">
        <v>43</v>
      </c>
      <c r="X1020" t="s">
        <v>43</v>
      </c>
      <c r="Y1020" t="s">
        <v>43</v>
      </c>
      <c r="Z1020" t="s">
        <v>43</v>
      </c>
      <c r="AA1020" t="s">
        <v>43</v>
      </c>
      <c r="AB1020" s="2" t="s">
        <v>43</v>
      </c>
      <c r="AC1020" t="s">
        <v>64</v>
      </c>
      <c r="AD1020" t="s">
        <v>46</v>
      </c>
      <c r="AE1020" t="s">
        <v>46</v>
      </c>
      <c r="AF1020" t="s">
        <v>46</v>
      </c>
      <c r="AG1020" t="s">
        <v>64</v>
      </c>
      <c r="AH1020" s="2" t="s">
        <v>43</v>
      </c>
    </row>
    <row r="1021" spans="1:34" ht="270">
      <c r="A1021" s="6" t="s">
        <v>82</v>
      </c>
      <c r="B1021" s="7">
        <v>46048</v>
      </c>
      <c r="C1021" s="9" t="str">
        <f>HYPERLINK("https://eping.wto.org/en/Search?viewData= G/SPS/N/JPN/1385"," G/SPS/N/JPN/1385")</f>
        <v xml:space="preserve"> G/SPS/N/JPN/1385</v>
      </c>
      <c r="D1021" s="8" t="s">
        <v>3993</v>
      </c>
      <c r="E1021" s="8" t="s">
        <v>3994</v>
      </c>
      <c r="F1021" s="8" t="s">
        <v>3995</v>
      </c>
      <c r="G1021" s="8" t="s">
        <v>3996</v>
      </c>
      <c r="H1021" s="8" t="s">
        <v>43</v>
      </c>
      <c r="I1021" s="8" t="s">
        <v>254</v>
      </c>
      <c r="J1021" s="8" t="s">
        <v>43</v>
      </c>
      <c r="K1021" s="8" t="s">
        <v>302</v>
      </c>
      <c r="L1021" s="6" t="s">
        <v>1834</v>
      </c>
      <c r="M1021" s="7" t="s">
        <v>43</v>
      </c>
      <c r="N1021" s="7"/>
      <c r="O1021" s="7">
        <v>46015</v>
      </c>
      <c r="P1021" s="6" t="s">
        <v>107</v>
      </c>
      <c r="Q1021" s="6"/>
      <c r="R1021" t="str">
        <f>HYPERLINK("https://docs.wto.org/imrd/directdoc.asp?DDFDocuments/t/G/SPS/NJPN1385.docx", "https://docs.wto.org/imrd/directdoc.asp?DDFDocuments/t/G/SPS/NJPN1385.docx")</f>
        <v>https://docs.wto.org/imrd/directdoc.asp?DDFDocuments/t/G/SPS/NJPN1385.docx</v>
      </c>
      <c r="S1021" t="str">
        <f>HYPERLINK("https://docs.wto.org/imrd/directdoc.asp?DDFDocuments/u/G/SPS/NJPN1385.docx", "https://docs.wto.org/imrd/directdoc.asp?DDFDocuments/u/G/SPS/NJPN1385.docx")</f>
        <v>https://docs.wto.org/imrd/directdoc.asp?DDFDocuments/u/G/SPS/NJPN1385.docx</v>
      </c>
      <c r="T1021" t="str">
        <f>HYPERLINK("https://docs.wto.org/imrd/directdoc.asp?DDFDocuments/v/G/SPS/NJPN1385.docx", "https://docs.wto.org/imrd/directdoc.asp?DDFDocuments/v/G/SPS/NJPN1385.docx")</f>
        <v>https://docs.wto.org/imrd/directdoc.asp?DDFDocuments/v/G/SPS/NJPN1385.docx</v>
      </c>
      <c r="U1021" t="s">
        <v>43</v>
      </c>
      <c r="V1021" t="s">
        <v>43</v>
      </c>
      <c r="W1021" t="s">
        <v>43</v>
      </c>
      <c r="X1021" t="s">
        <v>43</v>
      </c>
      <c r="Y1021" t="s">
        <v>43</v>
      </c>
      <c r="Z1021" t="s">
        <v>43</v>
      </c>
      <c r="AA1021" t="s">
        <v>43</v>
      </c>
      <c r="AB1021" s="2" t="s">
        <v>43</v>
      </c>
      <c r="AC1021" t="s">
        <v>46</v>
      </c>
      <c r="AD1021" t="s">
        <v>46</v>
      </c>
      <c r="AE1021" t="s">
        <v>64</v>
      </c>
      <c r="AF1021" t="s">
        <v>46</v>
      </c>
      <c r="AG1021" t="s">
        <v>64</v>
      </c>
      <c r="AH1021" s="2" t="s">
        <v>43</v>
      </c>
    </row>
    <row r="1022" spans="1:34" ht="75">
      <c r="A1022" s="6" t="s">
        <v>356</v>
      </c>
      <c r="B1022" s="7">
        <v>46048</v>
      </c>
      <c r="C1022" s="9" t="str">
        <f>HYPERLINK("https://eping.wto.org/en/Search?viewData= G/SPS/N/EU/861/Add.1"," G/SPS/N/EU/861/Add.1")</f>
        <v xml:space="preserve"> G/SPS/N/EU/861/Add.1</v>
      </c>
      <c r="D1022" s="8" t="s">
        <v>3997</v>
      </c>
      <c r="E1022" s="8" t="s">
        <v>3998</v>
      </c>
      <c r="F1022" s="8" t="s">
        <v>359</v>
      </c>
      <c r="G1022" s="8" t="s">
        <v>360</v>
      </c>
      <c r="H1022" s="8" t="s">
        <v>43</v>
      </c>
      <c r="I1022" s="8" t="s">
        <v>361</v>
      </c>
      <c r="J1022" s="8" t="s">
        <v>43</v>
      </c>
      <c r="K1022" s="8" t="s">
        <v>2449</v>
      </c>
      <c r="L1022" s="6"/>
      <c r="M1022" s="7" t="s">
        <v>43</v>
      </c>
      <c r="N1022" s="7"/>
      <c r="O1022" s="7"/>
      <c r="P1022" s="6" t="s">
        <v>44</v>
      </c>
      <c r="Q1022" s="8" t="s">
        <v>3999</v>
      </c>
      <c r="R1022" t="str">
        <f>HYPERLINK("https://docs.wto.org/imrd/directdoc.asp?DDFDocuments/t/G/SPS/NEU861A1.docx", "https://docs.wto.org/imrd/directdoc.asp?DDFDocuments/t/G/SPS/NEU861A1.docx")</f>
        <v>https://docs.wto.org/imrd/directdoc.asp?DDFDocuments/t/G/SPS/NEU861A1.docx</v>
      </c>
      <c r="S1022" t="str">
        <f>HYPERLINK("https://docs.wto.org/imrd/directdoc.asp?DDFDocuments/u/G/SPS/NEU861A1.docx", "https://docs.wto.org/imrd/directdoc.asp?DDFDocuments/u/G/SPS/NEU861A1.docx")</f>
        <v>https://docs.wto.org/imrd/directdoc.asp?DDFDocuments/u/G/SPS/NEU861A1.docx</v>
      </c>
      <c r="T1022" t="str">
        <f>HYPERLINK("https://docs.wto.org/imrd/directdoc.asp?DDFDocuments/v/G/SPS/NEU861A1.docx", "https://docs.wto.org/imrd/directdoc.asp?DDFDocuments/v/G/SPS/NEU861A1.docx")</f>
        <v>https://docs.wto.org/imrd/directdoc.asp?DDFDocuments/v/G/SPS/NEU861A1.docx</v>
      </c>
      <c r="U1022" t="s">
        <v>43</v>
      </c>
      <c r="V1022" t="s">
        <v>43</v>
      </c>
      <c r="W1022" t="s">
        <v>43</v>
      </c>
      <c r="X1022" t="s">
        <v>43</v>
      </c>
      <c r="Y1022" t="s">
        <v>43</v>
      </c>
      <c r="Z1022" t="s">
        <v>43</v>
      </c>
      <c r="AA1022" t="s">
        <v>43</v>
      </c>
      <c r="AB1022" s="2" t="s">
        <v>43</v>
      </c>
      <c r="AC1022" t="s">
        <v>43</v>
      </c>
      <c r="AD1022" t="s">
        <v>43</v>
      </c>
      <c r="AE1022" t="s">
        <v>43</v>
      </c>
      <c r="AF1022" t="s">
        <v>43</v>
      </c>
      <c r="AG1022" t="s">
        <v>43</v>
      </c>
      <c r="AH1022" s="2" t="s">
        <v>43</v>
      </c>
    </row>
    <row r="1023" spans="1:34" ht="165">
      <c r="A1023" s="6" t="s">
        <v>2430</v>
      </c>
      <c r="B1023" s="7">
        <v>46045</v>
      </c>
      <c r="C1023" s="9" t="str">
        <f>HYPERLINK("https://eping.wto.org/en/Search?viewData= G/SPS/N/NIC/245"," G/SPS/N/NIC/245")</f>
        <v xml:space="preserve"> G/SPS/N/NIC/245</v>
      </c>
      <c r="D1023" s="8" t="s">
        <v>4000</v>
      </c>
      <c r="E1023" s="8" t="s">
        <v>4001</v>
      </c>
      <c r="F1023" s="8" t="s">
        <v>4002</v>
      </c>
      <c r="G1023" s="8" t="s">
        <v>43</v>
      </c>
      <c r="H1023" s="8" t="s">
        <v>43</v>
      </c>
      <c r="I1023" s="8" t="s">
        <v>2433</v>
      </c>
      <c r="J1023" s="8" t="s">
        <v>43</v>
      </c>
      <c r="K1023" s="8" t="s">
        <v>121</v>
      </c>
      <c r="L1023" s="6" t="s">
        <v>89</v>
      </c>
      <c r="M1023" s="7">
        <v>46105</v>
      </c>
      <c r="N1023" s="7" t="s">
        <v>79</v>
      </c>
      <c r="O1023" s="7" t="s">
        <v>79</v>
      </c>
      <c r="P1023" s="6" t="s">
        <v>62</v>
      </c>
      <c r="Q1023" s="8" t="s">
        <v>4003</v>
      </c>
      <c r="R1023" t="str">
        <f>HYPERLINK("https://docs.wto.org/imrd/directdoc.asp?DDFDocuments/t/G/SPS/NNIC245.docx", "https://docs.wto.org/imrd/directdoc.asp?DDFDocuments/t/G/SPS/NNIC245.docx")</f>
        <v>https://docs.wto.org/imrd/directdoc.asp?DDFDocuments/t/G/SPS/NNIC245.docx</v>
      </c>
      <c r="S1023" t="str">
        <f>HYPERLINK("https://docs.wto.org/imrd/directdoc.asp?DDFDocuments/u/G/SPS/NNIC245.docx", "https://docs.wto.org/imrd/directdoc.asp?DDFDocuments/u/G/SPS/NNIC245.docx")</f>
        <v>https://docs.wto.org/imrd/directdoc.asp?DDFDocuments/u/G/SPS/NNIC245.docx</v>
      </c>
      <c r="T1023" t="str">
        <f>HYPERLINK("https://docs.wto.org/imrd/directdoc.asp?DDFDocuments/v/G/SPS/NNIC245.docx", "https://docs.wto.org/imrd/directdoc.asp?DDFDocuments/v/G/SPS/NNIC245.docx")</f>
        <v>https://docs.wto.org/imrd/directdoc.asp?DDFDocuments/v/G/SPS/NNIC245.docx</v>
      </c>
      <c r="U1023" t="s">
        <v>43</v>
      </c>
      <c r="V1023" t="s">
        <v>43</v>
      </c>
      <c r="W1023" t="s">
        <v>43</v>
      </c>
      <c r="X1023" t="s">
        <v>43</v>
      </c>
      <c r="Y1023" t="s">
        <v>43</v>
      </c>
      <c r="Z1023" t="s">
        <v>43</v>
      </c>
      <c r="AA1023" t="s">
        <v>43</v>
      </c>
      <c r="AB1023" s="2" t="s">
        <v>43</v>
      </c>
      <c r="AC1023" t="s">
        <v>46</v>
      </c>
      <c r="AD1023" t="s">
        <v>46</v>
      </c>
      <c r="AE1023" t="s">
        <v>46</v>
      </c>
      <c r="AF1023" t="s">
        <v>64</v>
      </c>
      <c r="AG1023" t="s">
        <v>99</v>
      </c>
      <c r="AH1023" s="2" t="s">
        <v>43</v>
      </c>
    </row>
    <row r="1024" spans="1:34" ht="90">
      <c r="A1024" s="6" t="s">
        <v>2991</v>
      </c>
      <c r="B1024" s="7">
        <v>46045</v>
      </c>
      <c r="C1024" s="9" t="str">
        <f>HYPERLINK("https://eping.wto.org/en/Search?viewData= G/SPS/N/HND/17/Add.2"," G/SPS/N/HND/17/Add.2")</f>
        <v xml:space="preserve"> G/SPS/N/HND/17/Add.2</v>
      </c>
      <c r="D1024" s="8" t="s">
        <v>4004</v>
      </c>
      <c r="E1024" s="8" t="s">
        <v>4004</v>
      </c>
      <c r="F1024" s="8" t="s">
        <v>4005</v>
      </c>
      <c r="G1024" s="8" t="s">
        <v>43</v>
      </c>
      <c r="H1024" s="8" t="s">
        <v>43</v>
      </c>
      <c r="I1024" s="8" t="s">
        <v>43</v>
      </c>
      <c r="J1024" s="8"/>
      <c r="K1024" s="8" t="s">
        <v>4006</v>
      </c>
      <c r="L1024" s="6"/>
      <c r="M1024" s="7">
        <v>46075</v>
      </c>
      <c r="N1024" s="7"/>
      <c r="O1024" s="7"/>
      <c r="P1024" s="6" t="s">
        <v>44</v>
      </c>
      <c r="Q1024" s="8" t="s">
        <v>4007</v>
      </c>
      <c r="R1024" t="str">
        <f>HYPERLINK("https://docs.wto.org/imrd/directdoc.asp?DDFDocuments/t/G/SPS/NHND17A2.docx", "https://docs.wto.org/imrd/directdoc.asp?DDFDocuments/t/G/SPS/NHND17A2.docx")</f>
        <v>https://docs.wto.org/imrd/directdoc.asp?DDFDocuments/t/G/SPS/NHND17A2.docx</v>
      </c>
      <c r="S1024" t="str">
        <f>HYPERLINK("https://docs.wto.org/imrd/directdoc.asp?DDFDocuments/u/G/SPS/NHND17A2.docx", "https://docs.wto.org/imrd/directdoc.asp?DDFDocuments/u/G/SPS/NHND17A2.docx")</f>
        <v>https://docs.wto.org/imrd/directdoc.asp?DDFDocuments/u/G/SPS/NHND17A2.docx</v>
      </c>
      <c r="T1024" t="str">
        <f>HYPERLINK("https://docs.wto.org/imrd/directdoc.asp?DDFDocuments/v/G/SPS/NHND17A2.docx", "https://docs.wto.org/imrd/directdoc.asp?DDFDocuments/v/G/SPS/NHND17A2.docx")</f>
        <v>https://docs.wto.org/imrd/directdoc.asp?DDFDocuments/v/G/SPS/NHND17A2.docx</v>
      </c>
      <c r="U1024" t="s">
        <v>43</v>
      </c>
      <c r="V1024" t="s">
        <v>43</v>
      </c>
      <c r="W1024" t="s">
        <v>43</v>
      </c>
      <c r="X1024" t="s">
        <v>43</v>
      </c>
      <c r="Y1024" t="s">
        <v>43</v>
      </c>
      <c r="Z1024" t="s">
        <v>43</v>
      </c>
      <c r="AA1024" t="s">
        <v>43</v>
      </c>
      <c r="AB1024" s="2" t="s">
        <v>43</v>
      </c>
      <c r="AC1024" t="s">
        <v>43</v>
      </c>
      <c r="AD1024" t="s">
        <v>43</v>
      </c>
      <c r="AE1024" t="s">
        <v>43</v>
      </c>
      <c r="AF1024" t="s">
        <v>43</v>
      </c>
      <c r="AG1024" t="s">
        <v>43</v>
      </c>
      <c r="AH1024" s="2" t="s">
        <v>43</v>
      </c>
    </row>
    <row r="1025" spans="1:34" ht="300">
      <c r="A1025" s="6" t="s">
        <v>122</v>
      </c>
      <c r="B1025" s="7">
        <v>46045</v>
      </c>
      <c r="C1025" s="9" t="str">
        <f>HYPERLINK("https://eping.wto.org/en/Search?viewData= G/SPS/N/TUR/76/Add.6"," G/SPS/N/TUR/76/Add.6")</f>
        <v xml:space="preserve"> G/SPS/N/TUR/76/Add.6</v>
      </c>
      <c r="D1025" s="8" t="s">
        <v>4008</v>
      </c>
      <c r="E1025" s="8" t="s">
        <v>4009</v>
      </c>
      <c r="F1025" s="8" t="s">
        <v>3919</v>
      </c>
      <c r="G1025" s="8" t="s">
        <v>43</v>
      </c>
      <c r="H1025" s="8" t="s">
        <v>43</v>
      </c>
      <c r="I1025" s="8" t="s">
        <v>58</v>
      </c>
      <c r="J1025" s="8"/>
      <c r="K1025" s="8" t="s">
        <v>4010</v>
      </c>
      <c r="L1025" s="6"/>
      <c r="M1025" s="7" t="s">
        <v>43</v>
      </c>
      <c r="N1025" s="7"/>
      <c r="O1025" s="7"/>
      <c r="P1025" s="6" t="s">
        <v>44</v>
      </c>
      <c r="Q1025" s="8" t="s">
        <v>4011</v>
      </c>
      <c r="R1025" t="str">
        <f>HYPERLINK("https://docs.wto.org/imrd/directdoc.asp?DDFDocuments/t/G/SPS/NTUR76A6.docx", "https://docs.wto.org/imrd/directdoc.asp?DDFDocuments/t/G/SPS/NTUR76A6.docx")</f>
        <v>https://docs.wto.org/imrd/directdoc.asp?DDFDocuments/t/G/SPS/NTUR76A6.docx</v>
      </c>
      <c r="S1025" t="str">
        <f>HYPERLINK("https://docs.wto.org/imrd/directdoc.asp?DDFDocuments/u/G/SPS/NTUR76A6.docx", "https://docs.wto.org/imrd/directdoc.asp?DDFDocuments/u/G/SPS/NTUR76A6.docx")</f>
        <v>https://docs.wto.org/imrd/directdoc.asp?DDFDocuments/u/G/SPS/NTUR76A6.docx</v>
      </c>
      <c r="T1025" t="str">
        <f>HYPERLINK("https://docs.wto.org/imrd/directdoc.asp?DDFDocuments/v/G/SPS/NTUR76A6.docx", "https://docs.wto.org/imrd/directdoc.asp?DDFDocuments/v/G/SPS/NTUR76A6.docx")</f>
        <v>https://docs.wto.org/imrd/directdoc.asp?DDFDocuments/v/G/SPS/NTUR76A6.docx</v>
      </c>
      <c r="U1025" t="s">
        <v>43</v>
      </c>
      <c r="V1025" t="s">
        <v>43</v>
      </c>
      <c r="W1025" t="s">
        <v>43</v>
      </c>
      <c r="X1025" t="s">
        <v>43</v>
      </c>
      <c r="Y1025" t="s">
        <v>43</v>
      </c>
      <c r="Z1025" t="s">
        <v>43</v>
      </c>
      <c r="AA1025" t="s">
        <v>43</v>
      </c>
      <c r="AB1025" s="2" t="s">
        <v>43</v>
      </c>
      <c r="AC1025" t="s">
        <v>43</v>
      </c>
      <c r="AD1025" t="s">
        <v>43</v>
      </c>
      <c r="AE1025" t="s">
        <v>43</v>
      </c>
      <c r="AF1025" t="s">
        <v>43</v>
      </c>
      <c r="AG1025" t="s">
        <v>43</v>
      </c>
      <c r="AH1025" s="2" t="s">
        <v>43</v>
      </c>
    </row>
    <row r="1026" spans="1:34" ht="120">
      <c r="A1026" s="6" t="s">
        <v>82</v>
      </c>
      <c r="B1026" s="7">
        <v>46045</v>
      </c>
      <c r="C1026" s="9" t="str">
        <f>HYPERLINK("https://eping.wto.org/en/Search?viewData= G/SPS/N/JPN/1384"," G/SPS/N/JPN/1384")</f>
        <v xml:space="preserve"> G/SPS/N/JPN/1384</v>
      </c>
      <c r="D1026" s="8" t="s">
        <v>4012</v>
      </c>
      <c r="E1026" s="8" t="s">
        <v>4013</v>
      </c>
      <c r="F1026" s="8" t="s">
        <v>4014</v>
      </c>
      <c r="G1026" s="8" t="s">
        <v>4015</v>
      </c>
      <c r="H1026" s="8" t="s">
        <v>43</v>
      </c>
      <c r="I1026" s="8" t="s">
        <v>104</v>
      </c>
      <c r="J1026" s="8" t="s">
        <v>43</v>
      </c>
      <c r="K1026" s="8" t="s">
        <v>4016</v>
      </c>
      <c r="L1026" s="6" t="s">
        <v>4017</v>
      </c>
      <c r="M1026" s="7" t="s">
        <v>43</v>
      </c>
      <c r="N1026" s="7"/>
      <c r="O1026" s="7" t="s">
        <v>4018</v>
      </c>
      <c r="P1026" s="6" t="s">
        <v>107</v>
      </c>
      <c r="Q1026" s="8" t="s">
        <v>4019</v>
      </c>
      <c r="R1026" t="str">
        <f>HYPERLINK("https://docs.wto.org/imrd/directdoc.asp?DDFDocuments/t/G/SPS/NJPN1384.docx", "https://docs.wto.org/imrd/directdoc.asp?DDFDocuments/t/G/SPS/NJPN1384.docx")</f>
        <v>https://docs.wto.org/imrd/directdoc.asp?DDFDocuments/t/G/SPS/NJPN1384.docx</v>
      </c>
      <c r="S1026" t="str">
        <f>HYPERLINK("https://docs.wto.org/imrd/directdoc.asp?DDFDocuments/u/G/SPS/NJPN1384.docx", "https://docs.wto.org/imrd/directdoc.asp?DDFDocuments/u/G/SPS/NJPN1384.docx")</f>
        <v>https://docs.wto.org/imrd/directdoc.asp?DDFDocuments/u/G/SPS/NJPN1384.docx</v>
      </c>
      <c r="T1026" t="str">
        <f>HYPERLINK("https://docs.wto.org/imrd/directdoc.asp?DDFDocuments/v/G/SPS/NJPN1384.docx", "https://docs.wto.org/imrd/directdoc.asp?DDFDocuments/v/G/SPS/NJPN1384.docx")</f>
        <v>https://docs.wto.org/imrd/directdoc.asp?DDFDocuments/v/G/SPS/NJPN1384.docx</v>
      </c>
      <c r="U1026" t="s">
        <v>43</v>
      </c>
      <c r="V1026" t="s">
        <v>43</v>
      </c>
      <c r="W1026" t="s">
        <v>43</v>
      </c>
      <c r="X1026" t="s">
        <v>43</v>
      </c>
      <c r="Y1026" t="s">
        <v>43</v>
      </c>
      <c r="Z1026" t="s">
        <v>43</v>
      </c>
      <c r="AA1026" t="s">
        <v>43</v>
      </c>
      <c r="AB1026" s="2" t="s">
        <v>43</v>
      </c>
      <c r="AC1026" t="s">
        <v>46</v>
      </c>
      <c r="AD1026" t="s">
        <v>64</v>
      </c>
      <c r="AE1026" t="s">
        <v>46</v>
      </c>
      <c r="AF1026" t="s">
        <v>46</v>
      </c>
      <c r="AG1026" t="s">
        <v>64</v>
      </c>
      <c r="AH1026" s="2" t="s">
        <v>43</v>
      </c>
    </row>
    <row r="1027" spans="1:34" ht="120">
      <c r="A1027" s="6" t="s">
        <v>1328</v>
      </c>
      <c r="B1027" s="7">
        <v>46045</v>
      </c>
      <c r="C1027" s="9" t="str">
        <f>HYPERLINK("https://eping.wto.org/en/Search?viewData= G/SPS/N/PHL/536"," G/SPS/N/PHL/536")</f>
        <v xml:space="preserve"> G/SPS/N/PHL/536</v>
      </c>
      <c r="D1027" s="8" t="s">
        <v>4020</v>
      </c>
      <c r="E1027" s="8" t="s">
        <v>4021</v>
      </c>
      <c r="F1027" s="8" t="s">
        <v>4022</v>
      </c>
      <c r="G1027" s="8" t="s">
        <v>4023</v>
      </c>
      <c r="H1027" s="8" t="s">
        <v>4024</v>
      </c>
      <c r="I1027" s="8" t="s">
        <v>4025</v>
      </c>
      <c r="J1027" s="8" t="s">
        <v>43</v>
      </c>
      <c r="K1027" s="8" t="s">
        <v>4026</v>
      </c>
      <c r="L1027" s="6" t="s">
        <v>43</v>
      </c>
      <c r="M1027" s="7" t="s">
        <v>43</v>
      </c>
      <c r="N1027" s="7"/>
      <c r="O1027" s="7" t="s">
        <v>99</v>
      </c>
      <c r="P1027" s="6" t="s">
        <v>107</v>
      </c>
      <c r="Q1027" s="8" t="s">
        <v>4027</v>
      </c>
      <c r="R1027" t="str">
        <f>HYPERLINK("https://docs.wto.org/imrd/directdoc.asp?DDFDocuments/t/G/SPS/NPHL536.docx", "https://docs.wto.org/imrd/directdoc.asp?DDFDocuments/t/G/SPS/NPHL536.docx")</f>
        <v>https://docs.wto.org/imrd/directdoc.asp?DDFDocuments/t/G/SPS/NPHL536.docx</v>
      </c>
      <c r="S1027" t="str">
        <f>HYPERLINK("https://docs.wto.org/imrd/directdoc.asp?DDFDocuments/u/G/SPS/NPHL536.docx", "https://docs.wto.org/imrd/directdoc.asp?DDFDocuments/u/G/SPS/NPHL536.docx")</f>
        <v>https://docs.wto.org/imrd/directdoc.asp?DDFDocuments/u/G/SPS/NPHL536.docx</v>
      </c>
      <c r="T1027" t="str">
        <f>HYPERLINK("https://docs.wto.org/imrd/directdoc.asp?DDFDocuments/v/G/SPS/NPHL536.docx", "https://docs.wto.org/imrd/directdoc.asp?DDFDocuments/v/G/SPS/NPHL536.docx")</f>
        <v>https://docs.wto.org/imrd/directdoc.asp?DDFDocuments/v/G/SPS/NPHL536.docx</v>
      </c>
      <c r="U1027" t="s">
        <v>43</v>
      </c>
      <c r="V1027" t="s">
        <v>43</v>
      </c>
      <c r="W1027" t="s">
        <v>43</v>
      </c>
      <c r="X1027" t="s">
        <v>43</v>
      </c>
      <c r="Y1027" t="s">
        <v>43</v>
      </c>
      <c r="Z1027" t="s">
        <v>43</v>
      </c>
      <c r="AA1027" t="s">
        <v>43</v>
      </c>
      <c r="AB1027" s="2" t="s">
        <v>43</v>
      </c>
      <c r="AC1027" t="s">
        <v>46</v>
      </c>
      <c r="AD1027" t="s">
        <v>64</v>
      </c>
      <c r="AE1027" t="s">
        <v>46</v>
      </c>
      <c r="AF1027" t="s">
        <v>46</v>
      </c>
      <c r="AG1027" t="s">
        <v>64</v>
      </c>
      <c r="AH1027" s="2" t="s">
        <v>43</v>
      </c>
    </row>
    <row r="1028" spans="1:34" ht="120">
      <c r="A1028" s="6" t="s">
        <v>2991</v>
      </c>
      <c r="B1028" s="7">
        <v>46045</v>
      </c>
      <c r="C1028" s="9" t="str">
        <f>HYPERLINK("https://eping.wto.org/en/Search?viewData= G/SPS/N/HND/16/Add.2"," G/SPS/N/HND/16/Add.2")</f>
        <v xml:space="preserve"> G/SPS/N/HND/16/Add.2</v>
      </c>
      <c r="D1028" s="8" t="s">
        <v>4028</v>
      </c>
      <c r="E1028" s="8" t="s">
        <v>4028</v>
      </c>
      <c r="F1028" s="8" t="s">
        <v>4029</v>
      </c>
      <c r="G1028" s="8" t="s">
        <v>4030</v>
      </c>
      <c r="H1028" s="8" t="s">
        <v>43</v>
      </c>
      <c r="I1028" s="8" t="s">
        <v>94</v>
      </c>
      <c r="J1028" s="8"/>
      <c r="K1028" s="8" t="s">
        <v>4031</v>
      </c>
      <c r="L1028" s="6"/>
      <c r="M1028" s="7">
        <v>46075</v>
      </c>
      <c r="N1028" s="7"/>
      <c r="O1028" s="7"/>
      <c r="P1028" s="6" t="s">
        <v>44</v>
      </c>
      <c r="Q1028" s="8" t="s">
        <v>4032</v>
      </c>
      <c r="R1028" t="str">
        <f>HYPERLINK("https://docs.wto.org/imrd/directdoc.asp?DDFDocuments/t/G/SPS/NHND16A2.docx", "https://docs.wto.org/imrd/directdoc.asp?DDFDocuments/t/G/SPS/NHND16A2.docx")</f>
        <v>https://docs.wto.org/imrd/directdoc.asp?DDFDocuments/t/G/SPS/NHND16A2.docx</v>
      </c>
      <c r="S1028" t="str">
        <f>HYPERLINK("https://docs.wto.org/imrd/directdoc.asp?DDFDocuments/u/G/SPS/NHND16A2.docx", "https://docs.wto.org/imrd/directdoc.asp?DDFDocuments/u/G/SPS/NHND16A2.docx")</f>
        <v>https://docs.wto.org/imrd/directdoc.asp?DDFDocuments/u/G/SPS/NHND16A2.docx</v>
      </c>
      <c r="T1028" t="str">
        <f>HYPERLINK("https://docs.wto.org/imrd/directdoc.asp?DDFDocuments/v/G/SPS/NHND16A2.docx", "https://docs.wto.org/imrd/directdoc.asp?DDFDocuments/v/G/SPS/NHND16A2.docx")</f>
        <v>https://docs.wto.org/imrd/directdoc.asp?DDFDocuments/v/G/SPS/NHND16A2.docx</v>
      </c>
      <c r="U1028" t="s">
        <v>43</v>
      </c>
      <c r="V1028" t="s">
        <v>43</v>
      </c>
      <c r="W1028" t="s">
        <v>43</v>
      </c>
      <c r="X1028" t="s">
        <v>43</v>
      </c>
      <c r="Y1028" t="s">
        <v>43</v>
      </c>
      <c r="Z1028" t="s">
        <v>43</v>
      </c>
      <c r="AA1028" t="s">
        <v>43</v>
      </c>
      <c r="AB1028" s="2" t="s">
        <v>43</v>
      </c>
      <c r="AC1028" t="s">
        <v>43</v>
      </c>
      <c r="AD1028" t="s">
        <v>43</v>
      </c>
      <c r="AE1028" t="s">
        <v>43</v>
      </c>
      <c r="AF1028" t="s">
        <v>43</v>
      </c>
      <c r="AG1028" t="s">
        <v>43</v>
      </c>
      <c r="AH1028" s="2" t="s">
        <v>43</v>
      </c>
    </row>
    <row r="1029" spans="1:34" ht="165">
      <c r="A1029" s="6" t="s">
        <v>2991</v>
      </c>
      <c r="B1029" s="7">
        <v>46045</v>
      </c>
      <c r="C1029" s="9" t="str">
        <f>HYPERLINK("https://eping.wto.org/en/Search?viewData= G/TBT/N/HND/52/Add.2"," G/TBT/N/HND/52/Add.2")</f>
        <v xml:space="preserve"> G/TBT/N/HND/52/Add.2</v>
      </c>
      <c r="D1029" s="8" t="s">
        <v>4033</v>
      </c>
      <c r="E1029" s="8" t="s">
        <v>4034</v>
      </c>
      <c r="F1029" s="8" t="s">
        <v>4005</v>
      </c>
      <c r="G1029" s="8" t="s">
        <v>43</v>
      </c>
      <c r="H1029" s="8" t="s">
        <v>4035</v>
      </c>
      <c r="I1029" s="8" t="s">
        <v>43</v>
      </c>
      <c r="J1029" s="8"/>
      <c r="K1029" s="8" t="s">
        <v>43</v>
      </c>
      <c r="L1029" s="6"/>
      <c r="M1029" s="7">
        <v>46075</v>
      </c>
      <c r="N1029" s="7"/>
      <c r="O1029" s="7"/>
      <c r="P1029" s="6" t="s">
        <v>44</v>
      </c>
      <c r="Q1029" s="6"/>
      <c r="R1029" t="str">
        <f>HYPERLINK("https://docs.wto.org/imrd/directdoc.asp?DDFDocuments/t/G/TBTN07/HND52A2.docx", "https://docs.wto.org/imrd/directdoc.asp?DDFDocuments/t/G/TBTN07/HND52A2.docx")</f>
        <v>https://docs.wto.org/imrd/directdoc.asp?DDFDocuments/t/G/TBTN07/HND52A2.docx</v>
      </c>
      <c r="S1029" t="str">
        <f>HYPERLINK("https://docs.wto.org/imrd/directdoc.asp?DDFDocuments/u/G/TBTN07/HND52A2.docx", "https://docs.wto.org/imrd/directdoc.asp?DDFDocuments/u/G/TBTN07/HND52A2.docx")</f>
        <v>https://docs.wto.org/imrd/directdoc.asp?DDFDocuments/u/G/TBTN07/HND52A2.docx</v>
      </c>
      <c r="T1029" t="str">
        <f>HYPERLINK("https://docs.wto.org/imrd/directdoc.asp?DDFDocuments/v/G/TBTN07/HND52A2.docx", "https://docs.wto.org/imrd/directdoc.asp?DDFDocuments/v/G/TBTN07/HND52A2.docx")</f>
        <v>https://docs.wto.org/imrd/directdoc.asp?DDFDocuments/v/G/TBTN07/HND52A2.docx</v>
      </c>
      <c r="U1029" t="s">
        <v>64</v>
      </c>
      <c r="V1029" t="s">
        <v>46</v>
      </c>
      <c r="W1029" t="s">
        <v>46</v>
      </c>
      <c r="X1029" t="s">
        <v>46</v>
      </c>
      <c r="Y1029" t="s">
        <v>46</v>
      </c>
      <c r="Z1029" t="s">
        <v>46</v>
      </c>
      <c r="AA1029" t="s">
        <v>46</v>
      </c>
      <c r="AB1029" s="2" t="s">
        <v>43</v>
      </c>
      <c r="AC1029" t="s">
        <v>43</v>
      </c>
      <c r="AD1029" t="s">
        <v>43</v>
      </c>
      <c r="AE1029" t="s">
        <v>43</v>
      </c>
      <c r="AF1029" t="s">
        <v>43</v>
      </c>
      <c r="AG1029" t="s">
        <v>43</v>
      </c>
      <c r="AH1029" s="2" t="s">
        <v>43</v>
      </c>
    </row>
    <row r="1030" spans="1:34" ht="409.5">
      <c r="A1030" s="6" t="s">
        <v>54</v>
      </c>
      <c r="B1030" s="7">
        <v>46045</v>
      </c>
      <c r="C1030" s="9" t="str">
        <f>HYPERLINK("https://eping.wto.org/en/Search?viewData= G/SPS/N/AUS/629"," G/SPS/N/AUS/629")</f>
        <v xml:space="preserve"> G/SPS/N/AUS/629</v>
      </c>
      <c r="D1030" s="8" t="s">
        <v>4036</v>
      </c>
      <c r="E1030" s="8" t="s">
        <v>4037</v>
      </c>
      <c r="F1030" s="8" t="s">
        <v>57</v>
      </c>
      <c r="G1030" s="8" t="s">
        <v>43</v>
      </c>
      <c r="H1030" s="8" t="s">
        <v>43</v>
      </c>
      <c r="I1030" s="8" t="s">
        <v>58</v>
      </c>
      <c r="J1030" s="8" t="s">
        <v>43</v>
      </c>
      <c r="K1030" s="8" t="s">
        <v>2637</v>
      </c>
      <c r="L1030" s="6" t="s">
        <v>43</v>
      </c>
      <c r="M1030" s="7">
        <v>46105</v>
      </c>
      <c r="N1030" s="7" t="s">
        <v>4038</v>
      </c>
      <c r="O1030" s="7" t="s">
        <v>4039</v>
      </c>
      <c r="P1030" s="6" t="s">
        <v>62</v>
      </c>
      <c r="Q1030" s="8" t="s">
        <v>4040</v>
      </c>
      <c r="R1030" t="str">
        <f>HYPERLINK("https://docs.wto.org/imrd/directdoc.asp?DDFDocuments/t/G/SPS/NAUS629.docx", "https://docs.wto.org/imrd/directdoc.asp?DDFDocuments/t/G/SPS/NAUS629.docx")</f>
        <v>https://docs.wto.org/imrd/directdoc.asp?DDFDocuments/t/G/SPS/NAUS629.docx</v>
      </c>
      <c r="S1030" t="str">
        <f>HYPERLINK("https://docs.wto.org/imrd/directdoc.asp?DDFDocuments/u/G/SPS/NAUS629.docx", "https://docs.wto.org/imrd/directdoc.asp?DDFDocuments/u/G/SPS/NAUS629.docx")</f>
        <v>https://docs.wto.org/imrd/directdoc.asp?DDFDocuments/u/G/SPS/NAUS629.docx</v>
      </c>
      <c r="T1030" t="str">
        <f>HYPERLINK("https://docs.wto.org/imrd/directdoc.asp?DDFDocuments/v/G/SPS/NAUS629.docx", "https://docs.wto.org/imrd/directdoc.asp?DDFDocuments/v/G/SPS/NAUS629.docx")</f>
        <v>https://docs.wto.org/imrd/directdoc.asp?DDFDocuments/v/G/SPS/NAUS629.docx</v>
      </c>
      <c r="U1030" t="s">
        <v>43</v>
      </c>
      <c r="V1030" t="s">
        <v>43</v>
      </c>
      <c r="W1030" t="s">
        <v>43</v>
      </c>
      <c r="X1030" t="s">
        <v>43</v>
      </c>
      <c r="Y1030" t="s">
        <v>43</v>
      </c>
      <c r="Z1030" t="s">
        <v>43</v>
      </c>
      <c r="AA1030" t="s">
        <v>43</v>
      </c>
      <c r="AB1030" s="2" t="s">
        <v>43</v>
      </c>
      <c r="AC1030" t="s">
        <v>64</v>
      </c>
      <c r="AD1030" t="s">
        <v>46</v>
      </c>
      <c r="AE1030" t="s">
        <v>46</v>
      </c>
      <c r="AF1030" t="s">
        <v>46</v>
      </c>
      <c r="AG1030" t="s">
        <v>46</v>
      </c>
      <c r="AH1030" s="2" t="s">
        <v>4041</v>
      </c>
    </row>
    <row r="1031" spans="1:34" ht="90">
      <c r="A1031" s="6" t="s">
        <v>89</v>
      </c>
      <c r="B1031" s="7">
        <v>46045</v>
      </c>
      <c r="C1031" s="9" t="str">
        <f>HYPERLINK("https://eping.wto.org/en/Search?viewData= G/TBT/N/CRI/198/Add.6"," G/TBT/N/CRI/198/Add.6")</f>
        <v xml:space="preserve"> G/TBT/N/CRI/198/Add.6</v>
      </c>
      <c r="D1031" s="8" t="s">
        <v>4042</v>
      </c>
      <c r="E1031" s="8" t="s">
        <v>4043</v>
      </c>
      <c r="F1031" s="8" t="s">
        <v>4044</v>
      </c>
      <c r="G1031" s="8" t="s">
        <v>43</v>
      </c>
      <c r="H1031" s="8" t="s">
        <v>4045</v>
      </c>
      <c r="I1031" s="8" t="s">
        <v>3083</v>
      </c>
      <c r="J1031" s="8" t="s">
        <v>43</v>
      </c>
      <c r="K1031" s="8" t="s">
        <v>43</v>
      </c>
      <c r="L1031" s="6"/>
      <c r="M1031" s="7" t="s">
        <v>43</v>
      </c>
      <c r="N1031" s="7"/>
      <c r="O1031" s="7"/>
      <c r="P1031" s="6" t="s">
        <v>44</v>
      </c>
      <c r="Q1031" s="8" t="s">
        <v>4046</v>
      </c>
      <c r="R1031" t="str">
        <f>HYPERLINK("https://docs.wto.org/imrd/directdoc.asp?DDFDocuments/t/G/TBTN22/CRI198A6.docx", "https://docs.wto.org/imrd/directdoc.asp?DDFDocuments/t/G/TBTN22/CRI198A6.docx")</f>
        <v>https://docs.wto.org/imrd/directdoc.asp?DDFDocuments/t/G/TBTN22/CRI198A6.docx</v>
      </c>
      <c r="S1031" t="str">
        <f>HYPERLINK("https://docs.wto.org/imrd/directdoc.asp?DDFDocuments/u/G/TBTN22/CRI198A6.docx", "https://docs.wto.org/imrd/directdoc.asp?DDFDocuments/u/G/TBTN22/CRI198A6.docx")</f>
        <v>https://docs.wto.org/imrd/directdoc.asp?DDFDocuments/u/G/TBTN22/CRI198A6.docx</v>
      </c>
      <c r="T1031" t="str">
        <f>HYPERLINK("https://docs.wto.org/imrd/directdoc.asp?DDFDocuments/v/G/TBTN22/CRI198A6.docx", "https://docs.wto.org/imrd/directdoc.asp?DDFDocuments/v/G/TBTN22/CRI198A6.docx")</f>
        <v>https://docs.wto.org/imrd/directdoc.asp?DDFDocuments/v/G/TBTN22/CRI198A6.docx</v>
      </c>
      <c r="U1031" t="s">
        <v>64</v>
      </c>
      <c r="V1031" t="s">
        <v>46</v>
      </c>
      <c r="W1031" t="s">
        <v>46</v>
      </c>
      <c r="X1031" t="s">
        <v>46</v>
      </c>
      <c r="Y1031" t="s">
        <v>46</v>
      </c>
      <c r="Z1031" t="s">
        <v>46</v>
      </c>
      <c r="AA1031" t="s">
        <v>46</v>
      </c>
      <c r="AB1031" s="2" t="s">
        <v>43</v>
      </c>
      <c r="AC1031" t="s">
        <v>43</v>
      </c>
      <c r="AD1031" t="s">
        <v>43</v>
      </c>
      <c r="AE1031" t="s">
        <v>43</v>
      </c>
      <c r="AF1031" t="s">
        <v>43</v>
      </c>
      <c r="AG1031" t="s">
        <v>43</v>
      </c>
      <c r="AH1031" s="2" t="s">
        <v>43</v>
      </c>
    </row>
    <row r="1032" spans="1:34" ht="90">
      <c r="A1032" s="6" t="s">
        <v>356</v>
      </c>
      <c r="B1032" s="7">
        <v>46045</v>
      </c>
      <c r="C1032" s="9" t="str">
        <f>HYPERLINK("https://eping.wto.org/en/Search?viewData= G/SPS/N/EU/910"," G/SPS/N/EU/910")</f>
        <v xml:space="preserve"> G/SPS/N/EU/910</v>
      </c>
      <c r="D1032" s="8" t="s">
        <v>4047</v>
      </c>
      <c r="E1032" s="8" t="s">
        <v>4048</v>
      </c>
      <c r="F1032" s="8" t="s">
        <v>359</v>
      </c>
      <c r="G1032" s="8" t="s">
        <v>156</v>
      </c>
      <c r="H1032" s="8" t="s">
        <v>43</v>
      </c>
      <c r="I1032" s="8" t="s">
        <v>361</v>
      </c>
      <c r="J1032" s="8" t="s">
        <v>43</v>
      </c>
      <c r="K1032" s="8" t="s">
        <v>1183</v>
      </c>
      <c r="L1032" s="6"/>
      <c r="M1032" s="7" t="s">
        <v>43</v>
      </c>
      <c r="N1032" s="7">
        <v>46036</v>
      </c>
      <c r="O1032" s="7" t="s">
        <v>1184</v>
      </c>
      <c r="P1032" s="6" t="s">
        <v>62</v>
      </c>
      <c r="Q1032" s="8" t="s">
        <v>4049</v>
      </c>
      <c r="R1032" t="str">
        <f>HYPERLINK("https://docs.wto.org/imrd/directdoc.asp?DDFDocuments/t/G/SPS/NEU910.docx", "https://docs.wto.org/imrd/directdoc.asp?DDFDocuments/t/G/SPS/NEU910.docx")</f>
        <v>https://docs.wto.org/imrd/directdoc.asp?DDFDocuments/t/G/SPS/NEU910.docx</v>
      </c>
      <c r="S1032" t="str">
        <f>HYPERLINK("https://docs.wto.org/imrd/directdoc.asp?DDFDocuments/u/G/SPS/NEU910.docx", "https://docs.wto.org/imrd/directdoc.asp?DDFDocuments/u/G/SPS/NEU910.docx")</f>
        <v>https://docs.wto.org/imrd/directdoc.asp?DDFDocuments/u/G/SPS/NEU910.docx</v>
      </c>
      <c r="T1032" t="str">
        <f>HYPERLINK("https://docs.wto.org/imrd/directdoc.asp?DDFDocuments/v/G/SPS/NEU910.docx", "https://docs.wto.org/imrd/directdoc.asp?DDFDocuments/v/G/SPS/NEU910.docx")</f>
        <v>https://docs.wto.org/imrd/directdoc.asp?DDFDocuments/v/G/SPS/NEU910.docx</v>
      </c>
      <c r="U1032" t="s">
        <v>43</v>
      </c>
      <c r="V1032" t="s">
        <v>43</v>
      </c>
      <c r="W1032" t="s">
        <v>43</v>
      </c>
      <c r="X1032" t="s">
        <v>43</v>
      </c>
      <c r="Y1032" t="s">
        <v>43</v>
      </c>
      <c r="Z1032" t="s">
        <v>43</v>
      </c>
      <c r="AA1032" t="s">
        <v>43</v>
      </c>
      <c r="AB1032" s="2" t="s">
        <v>43</v>
      </c>
      <c r="AC1032" t="s">
        <v>64</v>
      </c>
      <c r="AD1032" t="s">
        <v>46</v>
      </c>
      <c r="AE1032" t="s">
        <v>46</v>
      </c>
      <c r="AF1032" t="s">
        <v>46</v>
      </c>
      <c r="AG1032" t="s">
        <v>64</v>
      </c>
      <c r="AH1032" s="2" t="s">
        <v>43</v>
      </c>
    </row>
    <row r="1033" spans="1:34" ht="90">
      <c r="A1033" s="6" t="s">
        <v>2991</v>
      </c>
      <c r="B1033" s="7">
        <v>46045</v>
      </c>
      <c r="C1033" s="9" t="str">
        <f>HYPERLINK("https://eping.wto.org/en/Search?viewData= G/TBT/N/HND/53/Add.2"," G/TBT/N/HND/53/Add.2")</f>
        <v xml:space="preserve"> G/TBT/N/HND/53/Add.2</v>
      </c>
      <c r="D1033" s="8" t="s">
        <v>4050</v>
      </c>
      <c r="E1033" s="8" t="s">
        <v>4051</v>
      </c>
      <c r="F1033" s="8" t="s">
        <v>4029</v>
      </c>
      <c r="G1033" s="8" t="s">
        <v>43</v>
      </c>
      <c r="H1033" s="8" t="s">
        <v>2419</v>
      </c>
      <c r="I1033" s="8" t="s">
        <v>43</v>
      </c>
      <c r="J1033" s="8"/>
      <c r="K1033" s="8" t="s">
        <v>43</v>
      </c>
      <c r="L1033" s="6"/>
      <c r="M1033" s="7">
        <v>46075</v>
      </c>
      <c r="N1033" s="7"/>
      <c r="O1033" s="7"/>
      <c r="P1033" s="6" t="s">
        <v>44</v>
      </c>
      <c r="Q1033" s="6"/>
      <c r="R1033" t="str">
        <f>HYPERLINK("https://docs.wto.org/imrd/directdoc.asp?DDFDocuments/t/G/TBTN07/HND53A2.docx", "https://docs.wto.org/imrd/directdoc.asp?DDFDocuments/t/G/TBTN07/HND53A2.docx")</f>
        <v>https://docs.wto.org/imrd/directdoc.asp?DDFDocuments/t/G/TBTN07/HND53A2.docx</v>
      </c>
      <c r="S1033" t="str">
        <f>HYPERLINK("https://docs.wto.org/imrd/directdoc.asp?DDFDocuments/u/G/TBTN07/HND53A2.docx", "https://docs.wto.org/imrd/directdoc.asp?DDFDocuments/u/G/TBTN07/HND53A2.docx")</f>
        <v>https://docs.wto.org/imrd/directdoc.asp?DDFDocuments/u/G/TBTN07/HND53A2.docx</v>
      </c>
      <c r="T1033" t="str">
        <f>HYPERLINK("https://docs.wto.org/imrd/directdoc.asp?DDFDocuments/v/G/TBTN07/HND53A2.docx", "https://docs.wto.org/imrd/directdoc.asp?DDFDocuments/v/G/TBTN07/HND53A2.docx")</f>
        <v>https://docs.wto.org/imrd/directdoc.asp?DDFDocuments/v/G/TBTN07/HND53A2.docx</v>
      </c>
      <c r="U1033" t="s">
        <v>64</v>
      </c>
      <c r="V1033" t="s">
        <v>46</v>
      </c>
      <c r="W1033" t="s">
        <v>46</v>
      </c>
      <c r="X1033" t="s">
        <v>46</v>
      </c>
      <c r="Y1033" t="s">
        <v>46</v>
      </c>
      <c r="Z1033" t="s">
        <v>46</v>
      </c>
      <c r="AA1033" t="s">
        <v>46</v>
      </c>
      <c r="AB1033" s="2" t="s">
        <v>43</v>
      </c>
      <c r="AC1033" t="s">
        <v>43</v>
      </c>
      <c r="AD1033" t="s">
        <v>43</v>
      </c>
      <c r="AE1033" t="s">
        <v>43</v>
      </c>
      <c r="AF1033" t="s">
        <v>43</v>
      </c>
      <c r="AG1033" t="s">
        <v>43</v>
      </c>
      <c r="AH1033" s="2" t="s">
        <v>43</v>
      </c>
    </row>
    <row r="1034" spans="1:34" ht="90">
      <c r="A1034" s="6" t="s">
        <v>82</v>
      </c>
      <c r="B1034" s="7">
        <v>46045</v>
      </c>
      <c r="C1034" s="9" t="str">
        <f>HYPERLINK("https://eping.wto.org/en/Search?viewData= G/TBT/N/JPN/898"," G/TBT/N/JPN/898")</f>
        <v xml:space="preserve"> G/TBT/N/JPN/898</v>
      </c>
      <c r="D1034" s="8" t="s">
        <v>4052</v>
      </c>
      <c r="E1034" s="8" t="s">
        <v>4053</v>
      </c>
      <c r="F1034" s="8" t="s">
        <v>4054</v>
      </c>
      <c r="G1034" s="8" t="s">
        <v>4055</v>
      </c>
      <c r="H1034" s="8" t="s">
        <v>43</v>
      </c>
      <c r="I1034" s="8" t="s">
        <v>52</v>
      </c>
      <c r="J1034" s="8" t="s">
        <v>4056</v>
      </c>
      <c r="K1034" s="8" t="s">
        <v>350</v>
      </c>
      <c r="L1034" s="6"/>
      <c r="M1034" s="7">
        <v>46105</v>
      </c>
      <c r="N1034" s="7">
        <v>46082</v>
      </c>
      <c r="O1034" s="7">
        <v>46082</v>
      </c>
      <c r="P1034" s="6" t="s">
        <v>62</v>
      </c>
      <c r="Q1034" s="8" t="s">
        <v>4057</v>
      </c>
      <c r="R1034" t="str">
        <f>HYPERLINK("https://docs.wto.org/imrd/directdoc.asp?DDFDocuments/t/G/TBTN26/JPN898.docx", "https://docs.wto.org/imrd/directdoc.asp?DDFDocuments/t/G/TBTN26/JPN898.docx")</f>
        <v>https://docs.wto.org/imrd/directdoc.asp?DDFDocuments/t/G/TBTN26/JPN898.docx</v>
      </c>
      <c r="S1034" t="str">
        <f>HYPERLINK("https://docs.wto.org/imrd/directdoc.asp?DDFDocuments/u/G/TBTN26/JPN898.docx", "https://docs.wto.org/imrd/directdoc.asp?DDFDocuments/u/G/TBTN26/JPN898.docx")</f>
        <v>https://docs.wto.org/imrd/directdoc.asp?DDFDocuments/u/G/TBTN26/JPN898.docx</v>
      </c>
      <c r="T1034" t="str">
        <f>HYPERLINK("https://docs.wto.org/imrd/directdoc.asp?DDFDocuments/v/G/TBTN26/JPN898.docx", "https://docs.wto.org/imrd/directdoc.asp?DDFDocuments/v/G/TBTN26/JPN898.docx")</f>
        <v>https://docs.wto.org/imrd/directdoc.asp?DDFDocuments/v/G/TBTN26/JPN898.docx</v>
      </c>
      <c r="U1034" t="s">
        <v>64</v>
      </c>
      <c r="V1034" t="s">
        <v>46</v>
      </c>
      <c r="W1034" t="s">
        <v>46</v>
      </c>
      <c r="X1034" t="s">
        <v>46</v>
      </c>
      <c r="Y1034" t="s">
        <v>46</v>
      </c>
      <c r="Z1034" t="s">
        <v>46</v>
      </c>
      <c r="AA1034" t="s">
        <v>46</v>
      </c>
      <c r="AB1034" s="2" t="s">
        <v>4058</v>
      </c>
      <c r="AC1034" t="s">
        <v>43</v>
      </c>
      <c r="AD1034" t="s">
        <v>43</v>
      </c>
      <c r="AE1034" t="s">
        <v>43</v>
      </c>
      <c r="AF1034" t="s">
        <v>43</v>
      </c>
      <c r="AG1034" t="s">
        <v>43</v>
      </c>
      <c r="AH1034" s="2" t="s">
        <v>43</v>
      </c>
    </row>
    <row r="1035" spans="1:34" ht="60">
      <c r="A1035" s="6" t="s">
        <v>209</v>
      </c>
      <c r="B1035" s="7">
        <v>46045</v>
      </c>
      <c r="C1035" s="9" t="str">
        <f>HYPERLINK("https://eping.wto.org/en/Search?viewData= G/SPS/N/RUS/348"," G/SPS/N/RUS/348")</f>
        <v xml:space="preserve"> G/SPS/N/RUS/348</v>
      </c>
      <c r="D1035" s="8" t="s">
        <v>4059</v>
      </c>
      <c r="E1035" s="8" t="s">
        <v>4060</v>
      </c>
      <c r="F1035" s="8" t="s">
        <v>1363</v>
      </c>
      <c r="G1035" s="8" t="s">
        <v>1364</v>
      </c>
      <c r="H1035" s="8" t="s">
        <v>43</v>
      </c>
      <c r="I1035" s="8" t="s">
        <v>104</v>
      </c>
      <c r="J1035" s="8" t="s">
        <v>43</v>
      </c>
      <c r="K1035" s="8" t="s">
        <v>4061</v>
      </c>
      <c r="L1035" s="6" t="s">
        <v>4062</v>
      </c>
      <c r="M1035" s="7" t="s">
        <v>43</v>
      </c>
      <c r="N1035" s="7"/>
      <c r="O1035" s="7">
        <v>46043</v>
      </c>
      <c r="P1035" s="6" t="s">
        <v>107</v>
      </c>
      <c r="Q1035" s="8" t="s">
        <v>4063</v>
      </c>
      <c r="R1035" t="str">
        <f>HYPERLINK("https://docs.wto.org/imrd/directdoc.asp?DDFDocuments/t/G/SPS/NRUS348.docx", "https://docs.wto.org/imrd/directdoc.asp?DDFDocuments/t/G/SPS/NRUS348.docx")</f>
        <v>https://docs.wto.org/imrd/directdoc.asp?DDFDocuments/t/G/SPS/NRUS348.docx</v>
      </c>
      <c r="S1035" t="str">
        <f>HYPERLINK("https://docs.wto.org/imrd/directdoc.asp?DDFDocuments/u/G/SPS/NRUS348.docx", "https://docs.wto.org/imrd/directdoc.asp?DDFDocuments/u/G/SPS/NRUS348.docx")</f>
        <v>https://docs.wto.org/imrd/directdoc.asp?DDFDocuments/u/G/SPS/NRUS348.docx</v>
      </c>
      <c r="T1035" t="str">
        <f>HYPERLINK("https://docs.wto.org/imrd/directdoc.asp?DDFDocuments/v/G/SPS/NRUS348.docx", "https://docs.wto.org/imrd/directdoc.asp?DDFDocuments/v/G/SPS/NRUS348.docx")</f>
        <v>https://docs.wto.org/imrd/directdoc.asp?DDFDocuments/v/G/SPS/NRUS348.docx</v>
      </c>
      <c r="U1035" t="s">
        <v>43</v>
      </c>
      <c r="V1035" t="s">
        <v>43</v>
      </c>
      <c r="W1035" t="s">
        <v>43</v>
      </c>
      <c r="X1035" t="s">
        <v>43</v>
      </c>
      <c r="Y1035" t="s">
        <v>43</v>
      </c>
      <c r="Z1035" t="s">
        <v>43</v>
      </c>
      <c r="AA1035" t="s">
        <v>43</v>
      </c>
      <c r="AB1035" s="2" t="s">
        <v>43</v>
      </c>
      <c r="AC1035" t="s">
        <v>46</v>
      </c>
      <c r="AD1035" t="s">
        <v>64</v>
      </c>
      <c r="AE1035" t="s">
        <v>46</v>
      </c>
      <c r="AF1035" t="s">
        <v>46</v>
      </c>
      <c r="AG1035" t="s">
        <v>64</v>
      </c>
      <c r="AH1035" s="2" t="s">
        <v>43</v>
      </c>
    </row>
    <row r="1036" spans="1:34" ht="60">
      <c r="A1036" s="6" t="s">
        <v>1049</v>
      </c>
      <c r="B1036" s="7">
        <v>46045</v>
      </c>
      <c r="C1036" s="9" t="str">
        <f>HYPERLINK("https://eping.wto.org/en/Search?viewData= G/SPS/N/ARG/277"," G/SPS/N/ARG/277")</f>
        <v xml:space="preserve"> G/SPS/N/ARG/277</v>
      </c>
      <c r="D1036" s="8" t="s">
        <v>4064</v>
      </c>
      <c r="E1036" s="8" t="s">
        <v>4065</v>
      </c>
      <c r="F1036" s="8" t="s">
        <v>4066</v>
      </c>
      <c r="G1036" s="8" t="s">
        <v>1165</v>
      </c>
      <c r="H1036" s="8" t="s">
        <v>43</v>
      </c>
      <c r="I1036" s="8" t="s">
        <v>254</v>
      </c>
      <c r="J1036" s="8" t="s">
        <v>43</v>
      </c>
      <c r="K1036" s="8" t="s">
        <v>512</v>
      </c>
      <c r="L1036" s="6" t="s">
        <v>89</v>
      </c>
      <c r="M1036" s="7" t="s">
        <v>43</v>
      </c>
      <c r="N1036" s="7">
        <v>46038</v>
      </c>
      <c r="O1036" s="7">
        <v>46038</v>
      </c>
      <c r="P1036" s="6" t="s">
        <v>62</v>
      </c>
      <c r="Q1036" s="8" t="s">
        <v>4067</v>
      </c>
      <c r="R1036" t="str">
        <f>HYPERLINK("https://docs.wto.org/imrd/directdoc.asp?DDFDocuments/t/G/SPS/NARG277.docx", "https://docs.wto.org/imrd/directdoc.asp?DDFDocuments/t/G/SPS/NARG277.docx")</f>
        <v>https://docs.wto.org/imrd/directdoc.asp?DDFDocuments/t/G/SPS/NARG277.docx</v>
      </c>
      <c r="S1036" t="str">
        <f>HYPERLINK("https://docs.wto.org/imrd/directdoc.asp?DDFDocuments/u/G/SPS/NARG277.docx", "https://docs.wto.org/imrd/directdoc.asp?DDFDocuments/u/G/SPS/NARG277.docx")</f>
        <v>https://docs.wto.org/imrd/directdoc.asp?DDFDocuments/u/G/SPS/NARG277.docx</v>
      </c>
      <c r="T1036" t="str">
        <f>HYPERLINK("https://docs.wto.org/imrd/directdoc.asp?DDFDocuments/v/G/SPS/NARG277.docx", "https://docs.wto.org/imrd/directdoc.asp?DDFDocuments/v/G/SPS/NARG277.docx")</f>
        <v>https://docs.wto.org/imrd/directdoc.asp?DDFDocuments/v/G/SPS/NARG277.docx</v>
      </c>
      <c r="U1036" t="s">
        <v>43</v>
      </c>
      <c r="V1036" t="s">
        <v>43</v>
      </c>
      <c r="W1036" t="s">
        <v>43</v>
      </c>
      <c r="X1036" t="s">
        <v>43</v>
      </c>
      <c r="Y1036" t="s">
        <v>43</v>
      </c>
      <c r="Z1036" t="s">
        <v>43</v>
      </c>
      <c r="AA1036" t="s">
        <v>43</v>
      </c>
      <c r="AB1036" s="2" t="s">
        <v>43</v>
      </c>
      <c r="AC1036" t="s">
        <v>46</v>
      </c>
      <c r="AD1036" t="s">
        <v>46</v>
      </c>
      <c r="AE1036" t="s">
        <v>64</v>
      </c>
      <c r="AF1036" t="s">
        <v>46</v>
      </c>
      <c r="AG1036" t="s">
        <v>64</v>
      </c>
      <c r="AH1036" s="2" t="s">
        <v>4068</v>
      </c>
    </row>
    <row r="1037" spans="1:34" ht="180">
      <c r="A1037" s="6" t="s">
        <v>880</v>
      </c>
      <c r="B1037" s="7">
        <v>46045</v>
      </c>
      <c r="C1037" s="9" t="str">
        <f>HYPERLINK("https://eping.wto.org/en/Search?viewData= G/TBT/N/ECU/504/Add.5"," G/TBT/N/ECU/504/Add.5")</f>
        <v xml:space="preserve"> G/TBT/N/ECU/504/Add.5</v>
      </c>
      <c r="D1037" s="8" t="s">
        <v>4069</v>
      </c>
      <c r="E1037" s="8" t="s">
        <v>4070</v>
      </c>
      <c r="F1037" s="8" t="s">
        <v>4071</v>
      </c>
      <c r="G1037" s="8" t="s">
        <v>43</v>
      </c>
      <c r="H1037" s="8" t="s">
        <v>858</v>
      </c>
      <c r="I1037" s="8" t="s">
        <v>1483</v>
      </c>
      <c r="J1037" s="8" t="s">
        <v>43</v>
      </c>
      <c r="K1037" s="8" t="s">
        <v>860</v>
      </c>
      <c r="L1037" s="6"/>
      <c r="M1037" s="7" t="s">
        <v>43</v>
      </c>
      <c r="N1037" s="7"/>
      <c r="O1037" s="7"/>
      <c r="P1037" s="6" t="s">
        <v>44</v>
      </c>
      <c r="Q1037" s="8" t="s">
        <v>4072</v>
      </c>
      <c r="R1037" t="str">
        <f>HYPERLINK("https://docs.wto.org/imrd/directdoc.asp?DDFDocuments/t/G/TBTN21/ECU504A5.docx", "https://docs.wto.org/imrd/directdoc.asp?DDFDocuments/t/G/TBTN21/ECU504A5.docx")</f>
        <v>https://docs.wto.org/imrd/directdoc.asp?DDFDocuments/t/G/TBTN21/ECU504A5.docx</v>
      </c>
      <c r="S1037" t="str">
        <f>HYPERLINK("https://docs.wto.org/imrd/directdoc.asp?DDFDocuments/u/G/TBTN21/ECU504A5.docx", "https://docs.wto.org/imrd/directdoc.asp?DDFDocuments/u/G/TBTN21/ECU504A5.docx")</f>
        <v>https://docs.wto.org/imrd/directdoc.asp?DDFDocuments/u/G/TBTN21/ECU504A5.docx</v>
      </c>
      <c r="T1037" t="str">
        <f>HYPERLINK("https://docs.wto.org/imrd/directdoc.asp?DDFDocuments/v/G/TBTN21/ECU504A5.docx", "https://docs.wto.org/imrd/directdoc.asp?DDFDocuments/v/G/TBTN21/ECU504A5.docx")</f>
        <v>https://docs.wto.org/imrd/directdoc.asp?DDFDocuments/v/G/TBTN21/ECU504A5.docx</v>
      </c>
      <c r="U1037" t="s">
        <v>64</v>
      </c>
      <c r="V1037" t="s">
        <v>46</v>
      </c>
      <c r="W1037" t="s">
        <v>46</v>
      </c>
      <c r="X1037" t="s">
        <v>46</v>
      </c>
      <c r="Y1037" t="s">
        <v>46</v>
      </c>
      <c r="Z1037" t="s">
        <v>46</v>
      </c>
      <c r="AA1037" t="s">
        <v>46</v>
      </c>
      <c r="AB1037" s="2" t="s">
        <v>43</v>
      </c>
      <c r="AC1037" t="s">
        <v>43</v>
      </c>
      <c r="AD1037" t="s">
        <v>43</v>
      </c>
      <c r="AE1037" t="s">
        <v>43</v>
      </c>
      <c r="AF1037" t="s">
        <v>43</v>
      </c>
      <c r="AG1037" t="s">
        <v>43</v>
      </c>
      <c r="AH1037" s="2" t="s">
        <v>43</v>
      </c>
    </row>
    <row r="1038" spans="1:34" ht="90">
      <c r="A1038" s="6" t="s">
        <v>356</v>
      </c>
      <c r="B1038" s="7">
        <v>46045</v>
      </c>
      <c r="C1038" s="9" t="str">
        <f>HYPERLINK("https://eping.wto.org/en/Search?viewData= G/SPS/N/EU/909"," G/SPS/N/EU/909")</f>
        <v xml:space="preserve"> G/SPS/N/EU/909</v>
      </c>
      <c r="D1038" s="8" t="s">
        <v>4073</v>
      </c>
      <c r="E1038" s="8" t="s">
        <v>4074</v>
      </c>
      <c r="F1038" s="8" t="s">
        <v>359</v>
      </c>
      <c r="G1038" s="8" t="s">
        <v>156</v>
      </c>
      <c r="H1038" s="8" t="s">
        <v>43</v>
      </c>
      <c r="I1038" s="8" t="s">
        <v>361</v>
      </c>
      <c r="J1038" s="8" t="s">
        <v>43</v>
      </c>
      <c r="K1038" s="8" t="s">
        <v>1183</v>
      </c>
      <c r="L1038" s="6"/>
      <c r="M1038" s="7" t="s">
        <v>43</v>
      </c>
      <c r="N1038" s="7">
        <v>46038</v>
      </c>
      <c r="O1038" s="7" t="s">
        <v>1184</v>
      </c>
      <c r="P1038" s="6" t="s">
        <v>62</v>
      </c>
      <c r="Q1038" s="8" t="s">
        <v>4075</v>
      </c>
      <c r="R1038" t="str">
        <f>HYPERLINK("https://docs.wto.org/imrd/directdoc.asp?DDFDocuments/t/G/SPS/NEU909.docx", "https://docs.wto.org/imrd/directdoc.asp?DDFDocuments/t/G/SPS/NEU909.docx")</f>
        <v>https://docs.wto.org/imrd/directdoc.asp?DDFDocuments/t/G/SPS/NEU909.docx</v>
      </c>
      <c r="S1038" t="str">
        <f>HYPERLINK("https://docs.wto.org/imrd/directdoc.asp?DDFDocuments/u/G/SPS/NEU909.docx", "https://docs.wto.org/imrd/directdoc.asp?DDFDocuments/u/G/SPS/NEU909.docx")</f>
        <v>https://docs.wto.org/imrd/directdoc.asp?DDFDocuments/u/G/SPS/NEU909.docx</v>
      </c>
      <c r="T1038" t="str">
        <f>HYPERLINK("https://docs.wto.org/imrd/directdoc.asp?DDFDocuments/v/G/SPS/NEU909.docx", "https://docs.wto.org/imrd/directdoc.asp?DDFDocuments/v/G/SPS/NEU909.docx")</f>
        <v>https://docs.wto.org/imrd/directdoc.asp?DDFDocuments/v/G/SPS/NEU909.docx</v>
      </c>
      <c r="U1038" t="s">
        <v>43</v>
      </c>
      <c r="V1038" t="s">
        <v>43</v>
      </c>
      <c r="W1038" t="s">
        <v>43</v>
      </c>
      <c r="X1038" t="s">
        <v>43</v>
      </c>
      <c r="Y1038" t="s">
        <v>43</v>
      </c>
      <c r="Z1038" t="s">
        <v>43</v>
      </c>
      <c r="AA1038" t="s">
        <v>43</v>
      </c>
      <c r="AB1038" s="2" t="s">
        <v>43</v>
      </c>
      <c r="AC1038" t="s">
        <v>64</v>
      </c>
      <c r="AD1038" t="s">
        <v>46</v>
      </c>
      <c r="AE1038" t="s">
        <v>46</v>
      </c>
      <c r="AF1038" t="s">
        <v>46</v>
      </c>
      <c r="AG1038" t="s">
        <v>64</v>
      </c>
      <c r="AH1038" s="2" t="s">
        <v>43</v>
      </c>
    </row>
    <row r="1039" spans="1:34" ht="45">
      <c r="A1039" s="6" t="s">
        <v>1328</v>
      </c>
      <c r="B1039" s="7">
        <v>46045</v>
      </c>
      <c r="C1039" s="9" t="str">
        <f>HYPERLINK("https://eping.wto.org/en/Search?viewData= G/SPS/N/PHL/535"," G/SPS/N/PHL/535")</f>
        <v xml:space="preserve"> G/SPS/N/PHL/535</v>
      </c>
      <c r="D1039" s="8" t="s">
        <v>4076</v>
      </c>
      <c r="E1039" s="8" t="s">
        <v>4077</v>
      </c>
      <c r="F1039" s="8" t="s">
        <v>4078</v>
      </c>
      <c r="G1039" s="8" t="s">
        <v>4079</v>
      </c>
      <c r="H1039" s="8" t="s">
        <v>43</v>
      </c>
      <c r="I1039" s="8" t="s">
        <v>94</v>
      </c>
      <c r="J1039" s="8" t="s">
        <v>43</v>
      </c>
      <c r="K1039" s="8" t="s">
        <v>3676</v>
      </c>
      <c r="L1039" s="6" t="s">
        <v>43</v>
      </c>
      <c r="M1039" s="7" t="s">
        <v>43</v>
      </c>
      <c r="N1039" s="7">
        <v>46044</v>
      </c>
      <c r="O1039" s="7">
        <v>46044</v>
      </c>
      <c r="P1039" s="6" t="s">
        <v>62</v>
      </c>
      <c r="Q1039" s="8" t="s">
        <v>4080</v>
      </c>
      <c r="R1039" t="str">
        <f>HYPERLINK("https://docs.wto.org/imrd/directdoc.asp?DDFDocuments/t/G/SPS/NPHL535.docx", "https://docs.wto.org/imrd/directdoc.asp?DDFDocuments/t/G/SPS/NPHL535.docx")</f>
        <v>https://docs.wto.org/imrd/directdoc.asp?DDFDocuments/t/G/SPS/NPHL535.docx</v>
      </c>
      <c r="S1039" t="str">
        <f>HYPERLINK("https://docs.wto.org/imrd/directdoc.asp?DDFDocuments/u/G/SPS/NPHL535.docx", "https://docs.wto.org/imrd/directdoc.asp?DDFDocuments/u/G/SPS/NPHL535.docx")</f>
        <v>https://docs.wto.org/imrd/directdoc.asp?DDFDocuments/u/G/SPS/NPHL535.docx</v>
      </c>
      <c r="T1039" t="str">
        <f>HYPERLINK("https://docs.wto.org/imrd/directdoc.asp?DDFDocuments/v/G/SPS/NPHL535.docx", "https://docs.wto.org/imrd/directdoc.asp?DDFDocuments/v/G/SPS/NPHL535.docx")</f>
        <v>https://docs.wto.org/imrd/directdoc.asp?DDFDocuments/v/G/SPS/NPHL535.docx</v>
      </c>
      <c r="U1039" t="s">
        <v>43</v>
      </c>
      <c r="V1039" t="s">
        <v>43</v>
      </c>
      <c r="W1039" t="s">
        <v>43</v>
      </c>
      <c r="X1039" t="s">
        <v>43</v>
      </c>
      <c r="Y1039" t="s">
        <v>43</v>
      </c>
      <c r="Z1039" t="s">
        <v>43</v>
      </c>
      <c r="AA1039" t="s">
        <v>43</v>
      </c>
      <c r="AB1039" s="2" t="s">
        <v>43</v>
      </c>
      <c r="AC1039" t="s">
        <v>46</v>
      </c>
      <c r="AD1039" t="s">
        <v>46</v>
      </c>
      <c r="AE1039" t="s">
        <v>64</v>
      </c>
      <c r="AF1039" t="s">
        <v>46</v>
      </c>
      <c r="AG1039" t="s">
        <v>64</v>
      </c>
      <c r="AH1039" s="2" t="s">
        <v>43</v>
      </c>
    </row>
    <row r="1040" spans="1:34" ht="90">
      <c r="A1040" s="6" t="s">
        <v>289</v>
      </c>
      <c r="B1040" s="7">
        <v>46044</v>
      </c>
      <c r="C1040" s="9" t="str">
        <f>HYPERLINK("https://eping.wto.org/en/Search?viewData= G/SPS/N/BRA/2466"," G/SPS/N/BRA/2466")</f>
        <v xml:space="preserve"> G/SPS/N/BRA/2466</v>
      </c>
      <c r="D1040" s="8" t="s">
        <v>4081</v>
      </c>
      <c r="E1040" s="8" t="s">
        <v>4082</v>
      </c>
      <c r="F1040" s="8" t="s">
        <v>1515</v>
      </c>
      <c r="G1040" s="8" t="s">
        <v>43</v>
      </c>
      <c r="H1040" s="8" t="s">
        <v>1516</v>
      </c>
      <c r="I1040" s="8" t="s">
        <v>58</v>
      </c>
      <c r="J1040" s="8" t="s">
        <v>43</v>
      </c>
      <c r="K1040" s="8" t="s">
        <v>2405</v>
      </c>
      <c r="L1040" s="6"/>
      <c r="M1040" s="7">
        <v>46104</v>
      </c>
      <c r="N1040" s="7" t="s">
        <v>1517</v>
      </c>
      <c r="O1040" s="7" t="s">
        <v>1517</v>
      </c>
      <c r="P1040" s="6" t="s">
        <v>62</v>
      </c>
      <c r="Q1040" s="8" t="s">
        <v>4083</v>
      </c>
      <c r="R1040" t="str">
        <f>HYPERLINK("https://docs.wto.org/imrd/directdoc.asp?DDFDocuments/t/G/SPS/NBRA2466.docx", "https://docs.wto.org/imrd/directdoc.asp?DDFDocuments/t/G/SPS/NBRA2466.docx")</f>
        <v>https://docs.wto.org/imrd/directdoc.asp?DDFDocuments/t/G/SPS/NBRA2466.docx</v>
      </c>
      <c r="S1040" t="str">
        <f>HYPERLINK("https://docs.wto.org/imrd/directdoc.asp?DDFDocuments/u/G/SPS/NBRA2466.docx", "https://docs.wto.org/imrd/directdoc.asp?DDFDocuments/u/G/SPS/NBRA2466.docx")</f>
        <v>https://docs.wto.org/imrd/directdoc.asp?DDFDocuments/u/G/SPS/NBRA2466.docx</v>
      </c>
      <c r="T1040" t="str">
        <f>HYPERLINK("https://docs.wto.org/imrd/directdoc.asp?DDFDocuments/v/G/SPS/NBRA2466.docx", "https://docs.wto.org/imrd/directdoc.asp?DDFDocuments/v/G/SPS/NBRA2466.docx")</f>
        <v>https://docs.wto.org/imrd/directdoc.asp?DDFDocuments/v/G/SPS/NBRA2466.docx</v>
      </c>
      <c r="U1040" t="s">
        <v>43</v>
      </c>
      <c r="V1040" t="s">
        <v>43</v>
      </c>
      <c r="W1040" t="s">
        <v>43</v>
      </c>
      <c r="X1040" t="s">
        <v>43</v>
      </c>
      <c r="Y1040" t="s">
        <v>43</v>
      </c>
      <c r="Z1040" t="s">
        <v>43</v>
      </c>
      <c r="AA1040" t="s">
        <v>43</v>
      </c>
      <c r="AB1040" s="2" t="s">
        <v>43</v>
      </c>
      <c r="AC1040" t="s">
        <v>46</v>
      </c>
      <c r="AD1040" t="s">
        <v>46</v>
      </c>
      <c r="AE1040" t="s">
        <v>46</v>
      </c>
      <c r="AF1040" t="s">
        <v>64</v>
      </c>
      <c r="AG1040" t="s">
        <v>99</v>
      </c>
      <c r="AH1040" s="2" t="s">
        <v>43</v>
      </c>
    </row>
    <row r="1041" spans="1:34" ht="30">
      <c r="A1041" s="6" t="s">
        <v>3473</v>
      </c>
      <c r="B1041" s="7">
        <v>46044</v>
      </c>
      <c r="C1041" s="9" t="str">
        <f>HYPERLINK("https://eping.wto.org/en/Search?viewData= G/TBT/N/GEO/130"," G/TBT/N/GEO/130")</f>
        <v xml:space="preserve"> G/TBT/N/GEO/130</v>
      </c>
      <c r="D1041" s="8" t="s">
        <v>4084</v>
      </c>
      <c r="E1041" s="8" t="s">
        <v>4085</v>
      </c>
      <c r="F1041" s="8" t="s">
        <v>4086</v>
      </c>
      <c r="G1041" s="8" t="s">
        <v>43</v>
      </c>
      <c r="H1041" s="8" t="s">
        <v>4087</v>
      </c>
      <c r="I1041" s="8" t="s">
        <v>143</v>
      </c>
      <c r="J1041" s="8" t="s">
        <v>43</v>
      </c>
      <c r="K1041" s="8" t="s">
        <v>43</v>
      </c>
      <c r="L1041" s="6"/>
      <c r="M1041" s="7">
        <v>46080</v>
      </c>
      <c r="N1041" s="7" t="s">
        <v>79</v>
      </c>
      <c r="O1041" s="7" t="s">
        <v>79</v>
      </c>
      <c r="P1041" s="6" t="s">
        <v>62</v>
      </c>
      <c r="Q1041" s="6"/>
      <c r="R1041" t="str">
        <f>HYPERLINK("https://docs.wto.org/imrd/directdoc.asp?DDFDocuments/t/G/TBTN26/GEO130.docx", "https://docs.wto.org/imrd/directdoc.asp?DDFDocuments/t/G/TBTN26/GEO130.docx")</f>
        <v>https://docs.wto.org/imrd/directdoc.asp?DDFDocuments/t/G/TBTN26/GEO130.docx</v>
      </c>
      <c r="S1041" t="str">
        <f>HYPERLINK("https://docs.wto.org/imrd/directdoc.asp?DDFDocuments/u/G/TBTN26/GEO130.docx", "https://docs.wto.org/imrd/directdoc.asp?DDFDocuments/u/G/TBTN26/GEO130.docx")</f>
        <v>https://docs.wto.org/imrd/directdoc.asp?DDFDocuments/u/G/TBTN26/GEO130.docx</v>
      </c>
      <c r="T1041" t="str">
        <f>HYPERLINK("https://docs.wto.org/imrd/directdoc.asp?DDFDocuments/v/G/TBTN26/GEO130.docx", "https://docs.wto.org/imrd/directdoc.asp?DDFDocuments/v/G/TBTN26/GEO130.docx")</f>
        <v>https://docs.wto.org/imrd/directdoc.asp?DDFDocuments/v/G/TBTN26/GEO130.docx</v>
      </c>
      <c r="U1041" t="s">
        <v>64</v>
      </c>
      <c r="V1041" t="s">
        <v>46</v>
      </c>
      <c r="W1041" t="s">
        <v>46</v>
      </c>
      <c r="X1041" t="s">
        <v>46</v>
      </c>
      <c r="Y1041" t="s">
        <v>46</v>
      </c>
      <c r="Z1041" t="s">
        <v>46</v>
      </c>
      <c r="AA1041" t="s">
        <v>46</v>
      </c>
      <c r="AB1041" s="2" t="s">
        <v>4088</v>
      </c>
      <c r="AC1041" t="s">
        <v>43</v>
      </c>
      <c r="AD1041" t="s">
        <v>43</v>
      </c>
      <c r="AE1041" t="s">
        <v>43</v>
      </c>
      <c r="AF1041" t="s">
        <v>43</v>
      </c>
      <c r="AG1041" t="s">
        <v>43</v>
      </c>
      <c r="AH1041" s="2" t="s">
        <v>43</v>
      </c>
    </row>
    <row r="1042" spans="1:34" ht="75">
      <c r="A1042" s="6" t="s">
        <v>146</v>
      </c>
      <c r="B1042" s="7">
        <v>46044</v>
      </c>
      <c r="C1042" s="9" t="str">
        <f>HYPERLINK("https://eping.wto.org/en/Search?viewData= G/TBT/N/CHL/780"," G/TBT/N/CHL/780")</f>
        <v xml:space="preserve"> G/TBT/N/CHL/780</v>
      </c>
      <c r="D1042" s="8" t="s">
        <v>4089</v>
      </c>
      <c r="E1042" s="8" t="s">
        <v>4090</v>
      </c>
      <c r="F1042" s="8" t="s">
        <v>4091</v>
      </c>
      <c r="G1042" s="8" t="s">
        <v>43</v>
      </c>
      <c r="H1042" s="8" t="s">
        <v>4092</v>
      </c>
      <c r="I1042" s="8" t="s">
        <v>413</v>
      </c>
      <c r="J1042" s="8" t="s">
        <v>43</v>
      </c>
      <c r="K1042" s="8" t="s">
        <v>43</v>
      </c>
      <c r="L1042" s="6"/>
      <c r="M1042" s="7">
        <v>46104</v>
      </c>
      <c r="N1042" s="7" t="s">
        <v>877</v>
      </c>
      <c r="O1042" s="7" t="s">
        <v>877</v>
      </c>
      <c r="P1042" s="6" t="s">
        <v>62</v>
      </c>
      <c r="Q1042" s="8" t="s">
        <v>4093</v>
      </c>
      <c r="R1042" t="str">
        <f>HYPERLINK("https://docs.wto.org/imrd/directdoc.asp?DDFDocuments/t/G/TBTN26/CHL780.docx", "https://docs.wto.org/imrd/directdoc.asp?DDFDocuments/t/G/TBTN26/CHL780.docx")</f>
        <v>https://docs.wto.org/imrd/directdoc.asp?DDFDocuments/t/G/TBTN26/CHL780.docx</v>
      </c>
      <c r="S1042" t="str">
        <f>HYPERLINK("https://docs.wto.org/imrd/directdoc.asp?DDFDocuments/u/G/TBTN26/CHL780.docx", "https://docs.wto.org/imrd/directdoc.asp?DDFDocuments/u/G/TBTN26/CHL780.docx")</f>
        <v>https://docs.wto.org/imrd/directdoc.asp?DDFDocuments/u/G/TBTN26/CHL780.docx</v>
      </c>
      <c r="T1042" t="str">
        <f>HYPERLINK("https://docs.wto.org/imrd/directdoc.asp?DDFDocuments/v/G/TBTN26/CHL780.docx", "https://docs.wto.org/imrd/directdoc.asp?DDFDocuments/v/G/TBTN26/CHL780.docx")</f>
        <v>https://docs.wto.org/imrd/directdoc.asp?DDFDocuments/v/G/TBTN26/CHL780.docx</v>
      </c>
      <c r="U1042" t="s">
        <v>64</v>
      </c>
      <c r="V1042" t="s">
        <v>46</v>
      </c>
      <c r="W1042" t="s">
        <v>46</v>
      </c>
      <c r="X1042" t="s">
        <v>46</v>
      </c>
      <c r="Y1042" t="s">
        <v>46</v>
      </c>
      <c r="Z1042" t="s">
        <v>46</v>
      </c>
      <c r="AA1042" t="s">
        <v>46</v>
      </c>
      <c r="AB1042" s="2" t="s">
        <v>4094</v>
      </c>
      <c r="AC1042" t="s">
        <v>43</v>
      </c>
      <c r="AD1042" t="s">
        <v>43</v>
      </c>
      <c r="AE1042" t="s">
        <v>43</v>
      </c>
      <c r="AF1042" t="s">
        <v>43</v>
      </c>
      <c r="AG1042" t="s">
        <v>43</v>
      </c>
      <c r="AH1042" s="2" t="s">
        <v>43</v>
      </c>
    </row>
    <row r="1043" spans="1:34" ht="195">
      <c r="A1043" s="6" t="s">
        <v>124</v>
      </c>
      <c r="B1043" s="7">
        <v>46044</v>
      </c>
      <c r="C1043" s="9" t="str">
        <f>HYPERLINK("https://eping.wto.org/en/Search?viewData= G/TBT/N/BDI/713, G/TBT/N/KEN/1981, G/TBT/N/RWA/1343, G/TBT/N/TZA/1496, G/TBT/N/UGA/2312"," G/TBT/N/BDI/713, G/TBT/N/KEN/1981, G/TBT/N/RWA/1343, G/TBT/N/TZA/1496, G/TBT/N/UGA/2312")</f>
        <v xml:space="preserve"> G/TBT/N/BDI/713, G/TBT/N/KEN/1981, G/TBT/N/RWA/1343, G/TBT/N/TZA/1496, G/TBT/N/UGA/2312</v>
      </c>
      <c r="D1043" s="8" t="s">
        <v>4095</v>
      </c>
      <c r="E1043" s="8" t="s">
        <v>4096</v>
      </c>
      <c r="F1043" s="8" t="s">
        <v>4097</v>
      </c>
      <c r="G1043" s="8" t="s">
        <v>4098</v>
      </c>
      <c r="H1043" s="8" t="s">
        <v>4099</v>
      </c>
      <c r="I1043" s="8" t="s">
        <v>684</v>
      </c>
      <c r="J1043" s="8" t="s">
        <v>43</v>
      </c>
      <c r="K1043" s="8" t="s">
        <v>4100</v>
      </c>
      <c r="L1043" s="6"/>
      <c r="M1043" s="7">
        <v>46104</v>
      </c>
      <c r="N1043" s="7" t="s">
        <v>79</v>
      </c>
      <c r="O1043" s="7" t="s">
        <v>79</v>
      </c>
      <c r="P1043" s="6" t="s">
        <v>62</v>
      </c>
      <c r="Q1043" s="8" t="s">
        <v>4101</v>
      </c>
      <c r="R1043" t="str">
        <f>HYPERLINK("https://docs.wto.org/imrd/directdoc.asp?DDFDocuments/t/G/TBTN26/BDI713.docx", "https://docs.wto.org/imrd/directdoc.asp?DDFDocuments/t/G/TBTN26/BDI713.docx")</f>
        <v>https://docs.wto.org/imrd/directdoc.asp?DDFDocuments/t/G/TBTN26/BDI713.docx</v>
      </c>
      <c r="S1043" t="str">
        <f>HYPERLINK("https://docs.wto.org/imrd/directdoc.asp?DDFDocuments/u/G/TBTN26/BDI713.docx", "https://docs.wto.org/imrd/directdoc.asp?DDFDocuments/u/G/TBTN26/BDI713.docx")</f>
        <v>https://docs.wto.org/imrd/directdoc.asp?DDFDocuments/u/G/TBTN26/BDI713.docx</v>
      </c>
      <c r="T1043" t="str">
        <f>HYPERLINK("https://docs.wto.org/imrd/directdoc.asp?DDFDocuments/v/G/TBTN26/BDI713.docx", "https://docs.wto.org/imrd/directdoc.asp?DDFDocuments/v/G/TBTN26/BDI713.docx")</f>
        <v>https://docs.wto.org/imrd/directdoc.asp?DDFDocuments/v/G/TBTN26/BDI713.docx</v>
      </c>
      <c r="U1043" t="s">
        <v>64</v>
      </c>
      <c r="V1043" t="s">
        <v>46</v>
      </c>
      <c r="W1043" t="s">
        <v>46</v>
      </c>
      <c r="X1043" t="s">
        <v>46</v>
      </c>
      <c r="Y1043" t="s">
        <v>46</v>
      </c>
      <c r="Z1043" t="s">
        <v>46</v>
      </c>
      <c r="AA1043" t="s">
        <v>46</v>
      </c>
      <c r="AB1043" s="2" t="s">
        <v>4102</v>
      </c>
      <c r="AC1043" t="s">
        <v>43</v>
      </c>
      <c r="AD1043" t="s">
        <v>43</v>
      </c>
      <c r="AE1043" t="s">
        <v>43</v>
      </c>
      <c r="AF1043" t="s">
        <v>43</v>
      </c>
      <c r="AG1043" t="s">
        <v>43</v>
      </c>
      <c r="AH1043" s="2" t="s">
        <v>43</v>
      </c>
    </row>
    <row r="1044" spans="1:34" ht="45">
      <c r="A1044" s="6" t="s">
        <v>1346</v>
      </c>
      <c r="B1044" s="7">
        <v>46044</v>
      </c>
      <c r="C1044" s="9" t="str">
        <f>HYPERLINK("https://eping.wto.org/en/Search?viewData= G/TBT/N/KGZ/63"," G/TBT/N/KGZ/63")</f>
        <v xml:space="preserve"> G/TBT/N/KGZ/63</v>
      </c>
      <c r="D1044" s="8" t="s">
        <v>4103</v>
      </c>
      <c r="E1044" s="8" t="s">
        <v>4104</v>
      </c>
      <c r="F1044" s="8" t="s">
        <v>4105</v>
      </c>
      <c r="G1044" s="8" t="s">
        <v>1653</v>
      </c>
      <c r="H1044" s="8" t="s">
        <v>738</v>
      </c>
      <c r="I1044" s="8" t="s">
        <v>275</v>
      </c>
      <c r="J1044" s="8" t="s">
        <v>43</v>
      </c>
      <c r="K1044" s="8" t="s">
        <v>350</v>
      </c>
      <c r="L1044" s="6"/>
      <c r="M1044" s="7">
        <v>46114</v>
      </c>
      <c r="N1044" s="7" t="s">
        <v>4106</v>
      </c>
      <c r="O1044" s="7" t="s">
        <v>4106</v>
      </c>
      <c r="P1044" s="6" t="s">
        <v>62</v>
      </c>
      <c r="Q1044" s="8" t="s">
        <v>4107</v>
      </c>
      <c r="R1044" t="str">
        <f>HYPERLINK("https://docs.wto.org/imrd/directdoc.asp?DDFDocuments/t/G/TBTN26/KGZ63.docx", "https://docs.wto.org/imrd/directdoc.asp?DDFDocuments/t/G/TBTN26/KGZ63.docx")</f>
        <v>https://docs.wto.org/imrd/directdoc.asp?DDFDocuments/t/G/TBTN26/KGZ63.docx</v>
      </c>
      <c r="S1044" t="str">
        <f>HYPERLINK("https://docs.wto.org/imrd/directdoc.asp?DDFDocuments/u/G/TBTN26/KGZ63.docx", "https://docs.wto.org/imrd/directdoc.asp?DDFDocuments/u/G/TBTN26/KGZ63.docx")</f>
        <v>https://docs.wto.org/imrd/directdoc.asp?DDFDocuments/u/G/TBTN26/KGZ63.docx</v>
      </c>
      <c r="T1044" t="str">
        <f>HYPERLINK("https://docs.wto.org/imrd/directdoc.asp?DDFDocuments/v/G/TBTN26/KGZ63.docx", "https://docs.wto.org/imrd/directdoc.asp?DDFDocuments/v/G/TBTN26/KGZ63.docx")</f>
        <v>https://docs.wto.org/imrd/directdoc.asp?DDFDocuments/v/G/TBTN26/KGZ63.docx</v>
      </c>
      <c r="U1044" t="s">
        <v>64</v>
      </c>
      <c r="V1044" t="s">
        <v>46</v>
      </c>
      <c r="W1044" t="s">
        <v>46</v>
      </c>
      <c r="X1044" t="s">
        <v>46</v>
      </c>
      <c r="Y1044" t="s">
        <v>46</v>
      </c>
      <c r="Z1044" t="s">
        <v>46</v>
      </c>
      <c r="AA1044" t="s">
        <v>46</v>
      </c>
      <c r="AB1044" s="2" t="s">
        <v>4108</v>
      </c>
      <c r="AC1044" t="s">
        <v>43</v>
      </c>
      <c r="AD1044" t="s">
        <v>43</v>
      </c>
      <c r="AE1044" t="s">
        <v>43</v>
      </c>
      <c r="AF1044" t="s">
        <v>43</v>
      </c>
      <c r="AG1044" t="s">
        <v>43</v>
      </c>
      <c r="AH1044" s="2" t="s">
        <v>43</v>
      </c>
    </row>
    <row r="1045" spans="1:34" ht="375">
      <c r="A1045" s="6" t="s">
        <v>108</v>
      </c>
      <c r="B1045" s="7">
        <v>46044</v>
      </c>
      <c r="C1045" s="9" t="str">
        <f>HYPERLINK("https://eping.wto.org/en/Search?viewData= G/TBT/N/BDI/712, G/TBT/N/KEN/1980, G/TBT/N/RWA/1342, G/TBT/N/TZA/1495, G/TBT/N/UGA/2311"," G/TBT/N/BDI/712, G/TBT/N/KEN/1980, G/TBT/N/RWA/1342, G/TBT/N/TZA/1495, G/TBT/N/UGA/2311")</f>
        <v xml:space="preserve"> G/TBT/N/BDI/712, G/TBT/N/KEN/1980, G/TBT/N/RWA/1342, G/TBT/N/TZA/1495, G/TBT/N/UGA/2311</v>
      </c>
      <c r="D1045" s="8" t="s">
        <v>4109</v>
      </c>
      <c r="E1045" s="8" t="s">
        <v>4110</v>
      </c>
      <c r="F1045" s="8" t="s">
        <v>4111</v>
      </c>
      <c r="G1045" s="8" t="s">
        <v>4112</v>
      </c>
      <c r="H1045" s="8" t="s">
        <v>4113</v>
      </c>
      <c r="I1045" s="8" t="s">
        <v>684</v>
      </c>
      <c r="J1045" s="8" t="s">
        <v>43</v>
      </c>
      <c r="K1045" s="8" t="s">
        <v>240</v>
      </c>
      <c r="L1045" s="6"/>
      <c r="M1045" s="7">
        <v>46104</v>
      </c>
      <c r="N1045" s="7" t="s">
        <v>79</v>
      </c>
      <c r="O1045" s="7" t="s">
        <v>79</v>
      </c>
      <c r="P1045" s="6" t="s">
        <v>62</v>
      </c>
      <c r="Q1045" s="8" t="s">
        <v>4114</v>
      </c>
      <c r="R1045" t="str">
        <f>HYPERLINK("https://docs.wto.org/imrd/directdoc.asp?DDFDocuments/t/G/TBTN26/BDI712.docx", "https://docs.wto.org/imrd/directdoc.asp?DDFDocuments/t/G/TBTN26/BDI712.docx")</f>
        <v>https://docs.wto.org/imrd/directdoc.asp?DDFDocuments/t/G/TBTN26/BDI712.docx</v>
      </c>
      <c r="S1045" t="str">
        <f>HYPERLINK("https://docs.wto.org/imrd/directdoc.asp?DDFDocuments/u/G/TBTN26/BDI712.docx", "https://docs.wto.org/imrd/directdoc.asp?DDFDocuments/u/G/TBTN26/BDI712.docx")</f>
        <v>https://docs.wto.org/imrd/directdoc.asp?DDFDocuments/u/G/TBTN26/BDI712.docx</v>
      </c>
      <c r="T1045" t="str">
        <f>HYPERLINK("https://docs.wto.org/imrd/directdoc.asp?DDFDocuments/v/G/TBTN26/BDI712.docx", "https://docs.wto.org/imrd/directdoc.asp?DDFDocuments/v/G/TBTN26/BDI712.docx")</f>
        <v>https://docs.wto.org/imrd/directdoc.asp?DDFDocuments/v/G/TBTN26/BDI712.docx</v>
      </c>
      <c r="U1045" t="s">
        <v>64</v>
      </c>
      <c r="V1045" t="s">
        <v>46</v>
      </c>
      <c r="W1045" t="s">
        <v>46</v>
      </c>
      <c r="X1045" t="s">
        <v>46</v>
      </c>
      <c r="Y1045" t="s">
        <v>46</v>
      </c>
      <c r="Z1045" t="s">
        <v>46</v>
      </c>
      <c r="AA1045" t="s">
        <v>46</v>
      </c>
      <c r="AB1045" s="2" t="s">
        <v>4115</v>
      </c>
      <c r="AC1045" t="s">
        <v>43</v>
      </c>
      <c r="AD1045" t="s">
        <v>43</v>
      </c>
      <c r="AE1045" t="s">
        <v>43</v>
      </c>
      <c r="AF1045" t="s">
        <v>43</v>
      </c>
      <c r="AG1045" t="s">
        <v>43</v>
      </c>
      <c r="AH1045" s="2" t="s">
        <v>43</v>
      </c>
    </row>
    <row r="1046" spans="1:34" ht="75">
      <c r="A1046" s="6" t="s">
        <v>2569</v>
      </c>
      <c r="B1046" s="7">
        <v>46044</v>
      </c>
      <c r="C1046" s="9" t="str">
        <f>HYPERLINK("https://eping.wto.org/en/Search?viewData= G/TBT/N/JOR/87"," G/TBT/N/JOR/87")</f>
        <v xml:space="preserve"> G/TBT/N/JOR/87</v>
      </c>
      <c r="D1046" s="8" t="s">
        <v>4116</v>
      </c>
      <c r="E1046" s="8" t="s">
        <v>4117</v>
      </c>
      <c r="F1046" s="8" t="s">
        <v>4118</v>
      </c>
      <c r="G1046" s="8" t="s">
        <v>43</v>
      </c>
      <c r="H1046" s="8" t="s">
        <v>4119</v>
      </c>
      <c r="I1046" s="8" t="s">
        <v>143</v>
      </c>
      <c r="J1046" s="8" t="s">
        <v>43</v>
      </c>
      <c r="K1046" s="8" t="s">
        <v>240</v>
      </c>
      <c r="L1046" s="6"/>
      <c r="M1046" s="7">
        <v>46104</v>
      </c>
      <c r="N1046" s="7">
        <v>46174</v>
      </c>
      <c r="O1046" s="7">
        <v>46235</v>
      </c>
      <c r="P1046" s="6" t="s">
        <v>62</v>
      </c>
      <c r="Q1046" s="8" t="s">
        <v>4120</v>
      </c>
      <c r="R1046" t="str">
        <f>HYPERLINK("https://docs.wto.org/imrd/directdoc.asp?DDFDocuments/t/G/TBTN26/JOR87.docx", "https://docs.wto.org/imrd/directdoc.asp?DDFDocuments/t/G/TBTN26/JOR87.docx")</f>
        <v>https://docs.wto.org/imrd/directdoc.asp?DDFDocuments/t/G/TBTN26/JOR87.docx</v>
      </c>
      <c r="S1046" t="str">
        <f>HYPERLINK("https://docs.wto.org/imrd/directdoc.asp?DDFDocuments/u/G/TBTN26/JOR87.docx", "https://docs.wto.org/imrd/directdoc.asp?DDFDocuments/u/G/TBTN26/JOR87.docx")</f>
        <v>https://docs.wto.org/imrd/directdoc.asp?DDFDocuments/u/G/TBTN26/JOR87.docx</v>
      </c>
      <c r="T1046" t="str">
        <f>HYPERLINK("https://docs.wto.org/imrd/directdoc.asp?DDFDocuments/v/G/TBTN26/JOR87.docx", "https://docs.wto.org/imrd/directdoc.asp?DDFDocuments/v/G/TBTN26/JOR87.docx")</f>
        <v>https://docs.wto.org/imrd/directdoc.asp?DDFDocuments/v/G/TBTN26/JOR87.docx</v>
      </c>
      <c r="U1046" t="s">
        <v>64</v>
      </c>
      <c r="V1046" t="s">
        <v>46</v>
      </c>
      <c r="W1046" t="s">
        <v>46</v>
      </c>
      <c r="X1046" t="s">
        <v>46</v>
      </c>
      <c r="Y1046" t="s">
        <v>46</v>
      </c>
      <c r="Z1046" t="s">
        <v>46</v>
      </c>
      <c r="AA1046" t="s">
        <v>46</v>
      </c>
      <c r="AB1046" s="2" t="s">
        <v>4121</v>
      </c>
      <c r="AC1046" t="s">
        <v>43</v>
      </c>
      <c r="AD1046" t="s">
        <v>43</v>
      </c>
      <c r="AE1046" t="s">
        <v>43</v>
      </c>
      <c r="AF1046" t="s">
        <v>43</v>
      </c>
      <c r="AG1046" t="s">
        <v>43</v>
      </c>
      <c r="AH1046" s="2" t="s">
        <v>43</v>
      </c>
    </row>
    <row r="1047" spans="1:34" ht="180">
      <c r="A1047" s="6" t="s">
        <v>390</v>
      </c>
      <c r="B1047" s="7">
        <v>46044</v>
      </c>
      <c r="C1047" s="9" t="str">
        <f>HYPERLINK("https://eping.wto.org/en/Search?viewData= G/TBT/N/TZA/1498"," G/TBT/N/TZA/1498")</f>
        <v xml:space="preserve"> G/TBT/N/TZA/1498</v>
      </c>
      <c r="D1047" s="8" t="s">
        <v>4122</v>
      </c>
      <c r="E1047" s="8" t="s">
        <v>4123</v>
      </c>
      <c r="F1047" s="8" t="s">
        <v>4124</v>
      </c>
      <c r="G1047" s="8" t="s">
        <v>4125</v>
      </c>
      <c r="H1047" s="8" t="s">
        <v>3148</v>
      </c>
      <c r="I1047" s="8" t="s">
        <v>684</v>
      </c>
      <c r="J1047" s="8" t="s">
        <v>43</v>
      </c>
      <c r="K1047" s="8" t="s">
        <v>240</v>
      </c>
      <c r="L1047" s="6"/>
      <c r="M1047" s="7">
        <v>46104</v>
      </c>
      <c r="N1047" s="7" t="s">
        <v>79</v>
      </c>
      <c r="O1047" s="7" t="s">
        <v>79</v>
      </c>
      <c r="P1047" s="6" t="s">
        <v>62</v>
      </c>
      <c r="Q1047" s="8" t="s">
        <v>4126</v>
      </c>
      <c r="R1047" t="str">
        <f>HYPERLINK("https://docs.wto.org/imrd/directdoc.asp?DDFDocuments/t/G/TBTN26/TZA1498.docx", "https://docs.wto.org/imrd/directdoc.asp?DDFDocuments/t/G/TBTN26/TZA1498.docx")</f>
        <v>https://docs.wto.org/imrd/directdoc.asp?DDFDocuments/t/G/TBTN26/TZA1498.docx</v>
      </c>
      <c r="S1047" t="str">
        <f>HYPERLINK("https://docs.wto.org/imrd/directdoc.asp?DDFDocuments/u/G/TBTN26/TZA1498.docx", "https://docs.wto.org/imrd/directdoc.asp?DDFDocuments/u/G/TBTN26/TZA1498.docx")</f>
        <v>https://docs.wto.org/imrd/directdoc.asp?DDFDocuments/u/G/TBTN26/TZA1498.docx</v>
      </c>
      <c r="T1047" t="str">
        <f>HYPERLINK("https://docs.wto.org/imrd/directdoc.asp?DDFDocuments/v/G/TBTN26/TZA1498.docx", "https://docs.wto.org/imrd/directdoc.asp?DDFDocuments/v/G/TBTN26/TZA1498.docx")</f>
        <v>https://docs.wto.org/imrd/directdoc.asp?DDFDocuments/v/G/TBTN26/TZA1498.docx</v>
      </c>
      <c r="U1047" t="s">
        <v>64</v>
      </c>
      <c r="V1047" t="s">
        <v>46</v>
      </c>
      <c r="W1047" t="s">
        <v>46</v>
      </c>
      <c r="X1047" t="s">
        <v>46</v>
      </c>
      <c r="Y1047" t="s">
        <v>46</v>
      </c>
      <c r="Z1047" t="s">
        <v>46</v>
      </c>
      <c r="AA1047" t="s">
        <v>46</v>
      </c>
      <c r="AB1047" s="2" t="s">
        <v>4127</v>
      </c>
      <c r="AC1047" t="s">
        <v>43</v>
      </c>
      <c r="AD1047" t="s">
        <v>43</v>
      </c>
      <c r="AE1047" t="s">
        <v>43</v>
      </c>
      <c r="AF1047" t="s">
        <v>43</v>
      </c>
      <c r="AG1047" t="s">
        <v>43</v>
      </c>
      <c r="AH1047" s="2" t="s">
        <v>43</v>
      </c>
    </row>
    <row r="1048" spans="1:34" ht="409.5">
      <c r="A1048" s="6" t="s">
        <v>209</v>
      </c>
      <c r="B1048" s="7">
        <v>46044</v>
      </c>
      <c r="C1048" s="9" t="str">
        <f>HYPERLINK("https://eping.wto.org/en/Search?viewData= G/SPS/N/RUS/347"," G/SPS/N/RUS/347")</f>
        <v xml:space="preserve"> G/SPS/N/RUS/347</v>
      </c>
      <c r="D1048" s="8" t="s">
        <v>4128</v>
      </c>
      <c r="E1048" s="8" t="s">
        <v>4129</v>
      </c>
      <c r="F1048" s="8" t="s">
        <v>4130</v>
      </c>
      <c r="G1048" s="8" t="s">
        <v>4131</v>
      </c>
      <c r="H1048" s="8" t="s">
        <v>43</v>
      </c>
      <c r="I1048" s="8" t="s">
        <v>104</v>
      </c>
      <c r="J1048" s="8" t="s">
        <v>43</v>
      </c>
      <c r="K1048" s="8" t="s">
        <v>4132</v>
      </c>
      <c r="L1048" s="6" t="s">
        <v>4133</v>
      </c>
      <c r="M1048" s="7" t="s">
        <v>43</v>
      </c>
      <c r="N1048" s="7"/>
      <c r="O1048" s="7">
        <v>46020</v>
      </c>
      <c r="P1048" s="6" t="s">
        <v>107</v>
      </c>
      <c r="Q1048" s="8" t="s">
        <v>4134</v>
      </c>
      <c r="R1048" t="str">
        <f>HYPERLINK("https://docs.wto.org/imrd/directdoc.asp?DDFDocuments/t/G/SPS/NRUS347.docx", "https://docs.wto.org/imrd/directdoc.asp?DDFDocuments/t/G/SPS/NRUS347.docx")</f>
        <v>https://docs.wto.org/imrd/directdoc.asp?DDFDocuments/t/G/SPS/NRUS347.docx</v>
      </c>
      <c r="S1048" t="str">
        <f>HYPERLINK("https://docs.wto.org/imrd/directdoc.asp?DDFDocuments/u/G/SPS/NRUS347.docx", "https://docs.wto.org/imrd/directdoc.asp?DDFDocuments/u/G/SPS/NRUS347.docx")</f>
        <v>https://docs.wto.org/imrd/directdoc.asp?DDFDocuments/u/G/SPS/NRUS347.docx</v>
      </c>
      <c r="T1048" t="str">
        <f>HYPERLINK("https://docs.wto.org/imrd/directdoc.asp?DDFDocuments/v/G/SPS/NRUS347.docx", "https://docs.wto.org/imrd/directdoc.asp?DDFDocuments/v/G/SPS/NRUS347.docx")</f>
        <v>https://docs.wto.org/imrd/directdoc.asp?DDFDocuments/v/G/SPS/NRUS347.docx</v>
      </c>
      <c r="U1048" t="s">
        <v>43</v>
      </c>
      <c r="V1048" t="s">
        <v>43</v>
      </c>
      <c r="W1048" t="s">
        <v>43</v>
      </c>
      <c r="X1048" t="s">
        <v>43</v>
      </c>
      <c r="Y1048" t="s">
        <v>43</v>
      </c>
      <c r="Z1048" t="s">
        <v>43</v>
      </c>
      <c r="AA1048" t="s">
        <v>43</v>
      </c>
      <c r="AB1048" s="2" t="s">
        <v>43</v>
      </c>
      <c r="AC1048" t="s">
        <v>46</v>
      </c>
      <c r="AD1048" t="s">
        <v>64</v>
      </c>
      <c r="AE1048" t="s">
        <v>46</v>
      </c>
      <c r="AF1048" t="s">
        <v>46</v>
      </c>
      <c r="AG1048" t="s">
        <v>64</v>
      </c>
      <c r="AH1048" s="2" t="s">
        <v>43</v>
      </c>
    </row>
    <row r="1049" spans="1:34" ht="315">
      <c r="A1049" s="6" t="s">
        <v>132</v>
      </c>
      <c r="B1049" s="7">
        <v>46044</v>
      </c>
      <c r="C1049" s="9" t="str">
        <f>HYPERLINK("https://eping.wto.org/en/Search?viewData= G/TBT/N/USA/1519/Add.15"," G/TBT/N/USA/1519/Add.15")</f>
        <v xml:space="preserve"> G/TBT/N/USA/1519/Add.15</v>
      </c>
      <c r="D1049" s="8" t="s">
        <v>4135</v>
      </c>
      <c r="E1049" s="8" t="s">
        <v>4136</v>
      </c>
      <c r="F1049" s="8" t="s">
        <v>4137</v>
      </c>
      <c r="G1049" s="8" t="s">
        <v>4138</v>
      </c>
      <c r="H1049" s="8" t="s">
        <v>4139</v>
      </c>
      <c r="I1049" s="8" t="s">
        <v>1124</v>
      </c>
      <c r="J1049" s="8" t="s">
        <v>43</v>
      </c>
      <c r="K1049" s="8" t="s">
        <v>4140</v>
      </c>
      <c r="L1049" s="6"/>
      <c r="M1049" s="7" t="s">
        <v>43</v>
      </c>
      <c r="N1049" s="7"/>
      <c r="O1049" s="7"/>
      <c r="P1049" s="6" t="s">
        <v>44</v>
      </c>
      <c r="Q1049" s="8" t="s">
        <v>4141</v>
      </c>
      <c r="R1049" t="str">
        <f>HYPERLINK("https://docs.wto.org/imrd/directdoc.asp?DDFDocuments/t/G/TBTN19/USA1519A15.docx", "https://docs.wto.org/imrd/directdoc.asp?DDFDocuments/t/G/TBTN19/USA1519A15.docx")</f>
        <v>https://docs.wto.org/imrd/directdoc.asp?DDFDocuments/t/G/TBTN19/USA1519A15.docx</v>
      </c>
      <c r="S1049" t="str">
        <f>HYPERLINK("https://docs.wto.org/imrd/directdoc.asp?DDFDocuments/u/G/TBTN19/USA1519A15.docx", "https://docs.wto.org/imrd/directdoc.asp?DDFDocuments/u/G/TBTN19/USA1519A15.docx")</f>
        <v>https://docs.wto.org/imrd/directdoc.asp?DDFDocuments/u/G/TBTN19/USA1519A15.docx</v>
      </c>
      <c r="T1049" t="str">
        <f>HYPERLINK("https://docs.wto.org/imrd/directdoc.asp?DDFDocuments/v/G/TBTN19/USA1519A15.docx", "https://docs.wto.org/imrd/directdoc.asp?DDFDocuments/v/G/TBTN19/USA1519A15.docx")</f>
        <v>https://docs.wto.org/imrd/directdoc.asp?DDFDocuments/v/G/TBTN19/USA1519A15.docx</v>
      </c>
      <c r="U1049" t="s">
        <v>64</v>
      </c>
      <c r="V1049" t="s">
        <v>46</v>
      </c>
      <c r="W1049" t="s">
        <v>46</v>
      </c>
      <c r="X1049" t="s">
        <v>46</v>
      </c>
      <c r="Y1049" t="s">
        <v>46</v>
      </c>
      <c r="Z1049" t="s">
        <v>46</v>
      </c>
      <c r="AA1049" t="s">
        <v>46</v>
      </c>
      <c r="AB1049" s="2" t="s">
        <v>43</v>
      </c>
      <c r="AC1049" t="s">
        <v>43</v>
      </c>
      <c r="AD1049" t="s">
        <v>43</v>
      </c>
      <c r="AE1049" t="s">
        <v>43</v>
      </c>
      <c r="AF1049" t="s">
        <v>43</v>
      </c>
      <c r="AG1049" t="s">
        <v>43</v>
      </c>
      <c r="AH1049" s="2" t="s">
        <v>43</v>
      </c>
    </row>
    <row r="1050" spans="1:34" ht="75">
      <c r="A1050" s="6" t="s">
        <v>356</v>
      </c>
      <c r="B1050" s="7">
        <v>46044</v>
      </c>
      <c r="C1050" s="9" t="str">
        <f>HYPERLINK("https://eping.wto.org/en/Search?viewData= G/SPS/N/EU/908"," G/SPS/N/EU/908")</f>
        <v xml:space="preserve"> G/SPS/N/EU/908</v>
      </c>
      <c r="D1050" s="8" t="s">
        <v>4142</v>
      </c>
      <c r="E1050" s="8" t="s">
        <v>4143</v>
      </c>
      <c r="F1050" s="8" t="s">
        <v>359</v>
      </c>
      <c r="G1050" s="8" t="s">
        <v>156</v>
      </c>
      <c r="H1050" s="8" t="s">
        <v>43</v>
      </c>
      <c r="I1050" s="8" t="s">
        <v>361</v>
      </c>
      <c r="J1050" s="8" t="s">
        <v>43</v>
      </c>
      <c r="K1050" s="8" t="s">
        <v>1759</v>
      </c>
      <c r="L1050" s="6"/>
      <c r="M1050" s="7" t="s">
        <v>43</v>
      </c>
      <c r="N1050" s="7">
        <v>46002</v>
      </c>
      <c r="O1050" s="7" t="s">
        <v>1184</v>
      </c>
      <c r="P1050" s="6" t="s">
        <v>62</v>
      </c>
      <c r="Q1050" s="8" t="s">
        <v>4144</v>
      </c>
      <c r="R1050" t="str">
        <f>HYPERLINK("https://docs.wto.org/imrd/directdoc.asp?DDFDocuments/t/G/SPS/NEU908.docx", "https://docs.wto.org/imrd/directdoc.asp?DDFDocuments/t/G/SPS/NEU908.docx")</f>
        <v>https://docs.wto.org/imrd/directdoc.asp?DDFDocuments/t/G/SPS/NEU908.docx</v>
      </c>
      <c r="S1050" t="str">
        <f>HYPERLINK("https://docs.wto.org/imrd/directdoc.asp?DDFDocuments/u/G/SPS/NEU908.docx", "https://docs.wto.org/imrd/directdoc.asp?DDFDocuments/u/G/SPS/NEU908.docx")</f>
        <v>https://docs.wto.org/imrd/directdoc.asp?DDFDocuments/u/G/SPS/NEU908.docx</v>
      </c>
      <c r="T1050" t="str">
        <f>HYPERLINK("https://docs.wto.org/imrd/directdoc.asp?DDFDocuments/v/G/SPS/NEU908.docx", "https://docs.wto.org/imrd/directdoc.asp?DDFDocuments/v/G/SPS/NEU908.docx")</f>
        <v>https://docs.wto.org/imrd/directdoc.asp?DDFDocuments/v/G/SPS/NEU908.docx</v>
      </c>
      <c r="U1050" t="s">
        <v>43</v>
      </c>
      <c r="V1050" t="s">
        <v>43</v>
      </c>
      <c r="W1050" t="s">
        <v>43</v>
      </c>
      <c r="X1050" t="s">
        <v>43</v>
      </c>
      <c r="Y1050" t="s">
        <v>43</v>
      </c>
      <c r="Z1050" t="s">
        <v>43</v>
      </c>
      <c r="AA1050" t="s">
        <v>43</v>
      </c>
      <c r="AB1050" s="2" t="s">
        <v>43</v>
      </c>
      <c r="AC1050" t="s">
        <v>64</v>
      </c>
      <c r="AD1050" t="s">
        <v>46</v>
      </c>
      <c r="AE1050" t="s">
        <v>46</v>
      </c>
      <c r="AF1050" t="s">
        <v>46</v>
      </c>
      <c r="AG1050" t="s">
        <v>64</v>
      </c>
      <c r="AH1050" s="2" t="s">
        <v>43</v>
      </c>
    </row>
    <row r="1051" spans="1:34" ht="30">
      <c r="A1051" s="6" t="s">
        <v>289</v>
      </c>
      <c r="B1051" s="7">
        <v>46044</v>
      </c>
      <c r="C1051" s="9" t="str">
        <f>HYPERLINK("https://eping.wto.org/en/Search?viewData= G/SPS/N/BRA/2465"," G/SPS/N/BRA/2465")</f>
        <v xml:space="preserve"> G/SPS/N/BRA/2465</v>
      </c>
      <c r="D1051" s="8" t="s">
        <v>4145</v>
      </c>
      <c r="E1051" s="8" t="s">
        <v>4146</v>
      </c>
      <c r="F1051" s="8" t="s">
        <v>4147</v>
      </c>
      <c r="G1051" s="8" t="s">
        <v>43</v>
      </c>
      <c r="H1051" s="8" t="s">
        <v>43</v>
      </c>
      <c r="I1051" s="8" t="s">
        <v>104</v>
      </c>
      <c r="J1051" s="8" t="s">
        <v>43</v>
      </c>
      <c r="K1051" s="8" t="s">
        <v>749</v>
      </c>
      <c r="L1051" s="6" t="s">
        <v>43</v>
      </c>
      <c r="M1051" s="7" t="s">
        <v>43</v>
      </c>
      <c r="N1051" s="7">
        <v>46036</v>
      </c>
      <c r="O1051" s="7">
        <v>46036</v>
      </c>
      <c r="P1051" s="6" t="s">
        <v>62</v>
      </c>
      <c r="Q1051" s="8" t="s">
        <v>4148</v>
      </c>
      <c r="R1051" t="str">
        <f>HYPERLINK("https://docs.wto.org/imrd/directdoc.asp?DDFDocuments/t/G/SPS/NBRA2465.docx", "https://docs.wto.org/imrd/directdoc.asp?DDFDocuments/t/G/SPS/NBRA2465.docx")</f>
        <v>https://docs.wto.org/imrd/directdoc.asp?DDFDocuments/t/G/SPS/NBRA2465.docx</v>
      </c>
      <c r="S1051" t="str">
        <f>HYPERLINK("https://docs.wto.org/imrd/directdoc.asp?DDFDocuments/u/G/SPS/NBRA2465.docx", "https://docs.wto.org/imrd/directdoc.asp?DDFDocuments/u/G/SPS/NBRA2465.docx")</f>
        <v>https://docs.wto.org/imrd/directdoc.asp?DDFDocuments/u/G/SPS/NBRA2465.docx</v>
      </c>
      <c r="T1051" t="str">
        <f>HYPERLINK("https://docs.wto.org/imrd/directdoc.asp?DDFDocuments/v/G/SPS/NBRA2465.docx", "https://docs.wto.org/imrd/directdoc.asp?DDFDocuments/v/G/SPS/NBRA2465.docx")</f>
        <v>https://docs.wto.org/imrd/directdoc.asp?DDFDocuments/v/G/SPS/NBRA2465.docx</v>
      </c>
      <c r="U1051" t="s">
        <v>43</v>
      </c>
      <c r="V1051" t="s">
        <v>43</v>
      </c>
      <c r="W1051" t="s">
        <v>43</v>
      </c>
      <c r="X1051" t="s">
        <v>43</v>
      </c>
      <c r="Y1051" t="s">
        <v>43</v>
      </c>
      <c r="Z1051" t="s">
        <v>43</v>
      </c>
      <c r="AA1051" t="s">
        <v>43</v>
      </c>
      <c r="AB1051" s="2" t="s">
        <v>43</v>
      </c>
      <c r="AC1051" t="s">
        <v>46</v>
      </c>
      <c r="AD1051" t="s">
        <v>64</v>
      </c>
      <c r="AE1051" t="s">
        <v>46</v>
      </c>
      <c r="AF1051" t="s">
        <v>46</v>
      </c>
      <c r="AG1051" t="s">
        <v>64</v>
      </c>
      <c r="AH1051" s="2" t="s">
        <v>43</v>
      </c>
    </row>
    <row r="1052" spans="1:34" ht="60">
      <c r="A1052" s="6" t="s">
        <v>289</v>
      </c>
      <c r="B1052" s="7">
        <v>46044</v>
      </c>
      <c r="C1052" s="9" t="str">
        <f>HYPERLINK("https://eping.wto.org/en/Search?viewData= G/TBT/N/BRA/1618"," G/TBT/N/BRA/1618")</f>
        <v xml:space="preserve"> G/TBT/N/BRA/1618</v>
      </c>
      <c r="D1052" s="8" t="s">
        <v>4149</v>
      </c>
      <c r="E1052" s="8" t="s">
        <v>4150</v>
      </c>
      <c r="F1052" s="8" t="s">
        <v>4151</v>
      </c>
      <c r="G1052" s="8" t="s">
        <v>1399</v>
      </c>
      <c r="H1052" s="8" t="s">
        <v>43</v>
      </c>
      <c r="I1052" s="8" t="s">
        <v>129</v>
      </c>
      <c r="J1052" s="8" t="s">
        <v>43</v>
      </c>
      <c r="K1052" s="8" t="s">
        <v>43</v>
      </c>
      <c r="L1052" s="6"/>
      <c r="M1052" s="7">
        <v>46073</v>
      </c>
      <c r="N1052" s="7" t="s">
        <v>79</v>
      </c>
      <c r="O1052" s="7" t="s">
        <v>79</v>
      </c>
      <c r="P1052" s="6" t="s">
        <v>62</v>
      </c>
      <c r="Q1052" s="8" t="s">
        <v>4152</v>
      </c>
      <c r="R1052" t="str">
        <f>HYPERLINK("https://docs.wto.org/imrd/directdoc.asp?DDFDocuments/t/G/TBTN26/BRA1618.docx", "https://docs.wto.org/imrd/directdoc.asp?DDFDocuments/t/G/TBTN26/BRA1618.docx")</f>
        <v>https://docs.wto.org/imrd/directdoc.asp?DDFDocuments/t/G/TBTN26/BRA1618.docx</v>
      </c>
      <c r="S1052" t="str">
        <f>HYPERLINK("https://docs.wto.org/imrd/directdoc.asp?DDFDocuments/u/G/TBTN26/BRA1618.docx", "https://docs.wto.org/imrd/directdoc.asp?DDFDocuments/u/G/TBTN26/BRA1618.docx")</f>
        <v>https://docs.wto.org/imrd/directdoc.asp?DDFDocuments/u/G/TBTN26/BRA1618.docx</v>
      </c>
      <c r="T1052" t="str">
        <f>HYPERLINK("https://docs.wto.org/imrd/directdoc.asp?DDFDocuments/v/G/TBTN26/BRA1618.docx", "https://docs.wto.org/imrd/directdoc.asp?DDFDocuments/v/G/TBTN26/BRA1618.docx")</f>
        <v>https://docs.wto.org/imrd/directdoc.asp?DDFDocuments/v/G/TBTN26/BRA1618.docx</v>
      </c>
      <c r="U1052" t="s">
        <v>64</v>
      </c>
      <c r="V1052" t="s">
        <v>46</v>
      </c>
      <c r="W1052" t="s">
        <v>46</v>
      </c>
      <c r="X1052" t="s">
        <v>46</v>
      </c>
      <c r="Y1052" t="s">
        <v>46</v>
      </c>
      <c r="Z1052" t="s">
        <v>46</v>
      </c>
      <c r="AA1052" t="s">
        <v>46</v>
      </c>
      <c r="AB1052" s="2" t="s">
        <v>4153</v>
      </c>
      <c r="AC1052" t="s">
        <v>43</v>
      </c>
      <c r="AD1052" t="s">
        <v>43</v>
      </c>
      <c r="AE1052" t="s">
        <v>43</v>
      </c>
      <c r="AF1052" t="s">
        <v>43</v>
      </c>
      <c r="AG1052" t="s">
        <v>43</v>
      </c>
      <c r="AH1052" s="2" t="s">
        <v>43</v>
      </c>
    </row>
    <row r="1053" spans="1:34" ht="60">
      <c r="A1053" s="6" t="s">
        <v>509</v>
      </c>
      <c r="B1053" s="7">
        <v>46044</v>
      </c>
      <c r="C1053" s="9" t="str">
        <f>HYPERLINK("https://eping.wto.org/en/Search?viewData= G/SPS/N/BDI/145, G/SPS/N/KEN/353, G/SPS/N/RWA/138, G/SPS/N/TZA/496, G/SPS/N/UGA/466"," G/SPS/N/BDI/145, G/SPS/N/KEN/353, G/SPS/N/RWA/138, G/SPS/N/TZA/496, G/SPS/N/UGA/466")</f>
        <v xml:space="preserve"> G/SPS/N/BDI/145, G/SPS/N/KEN/353, G/SPS/N/RWA/138, G/SPS/N/TZA/496, G/SPS/N/UGA/466</v>
      </c>
      <c r="D1053" s="8" t="s">
        <v>4154</v>
      </c>
      <c r="E1053" s="8" t="s">
        <v>4155</v>
      </c>
      <c r="F1053" s="8" t="s">
        <v>4111</v>
      </c>
      <c r="G1053" s="8" t="s">
        <v>4112</v>
      </c>
      <c r="H1053" s="8" t="s">
        <v>4113</v>
      </c>
      <c r="I1053" s="8" t="s">
        <v>58</v>
      </c>
      <c r="J1053" s="8" t="s">
        <v>43</v>
      </c>
      <c r="K1053" s="8" t="s">
        <v>157</v>
      </c>
      <c r="L1053" s="6" t="s">
        <v>43</v>
      </c>
      <c r="M1053" s="7">
        <v>46104</v>
      </c>
      <c r="N1053" s="7" t="s">
        <v>396</v>
      </c>
      <c r="O1053" s="7" t="s">
        <v>304</v>
      </c>
      <c r="P1053" s="6" t="s">
        <v>62</v>
      </c>
      <c r="Q1053" s="8" t="s">
        <v>4156</v>
      </c>
      <c r="R1053" t="str">
        <f>HYPERLINK("https://docs.wto.org/imrd/directdoc.asp?DDFDocuments/t/G/SPS/NBDI145.docx", "https://docs.wto.org/imrd/directdoc.asp?DDFDocuments/t/G/SPS/NBDI145.docx")</f>
        <v>https://docs.wto.org/imrd/directdoc.asp?DDFDocuments/t/G/SPS/NBDI145.docx</v>
      </c>
      <c r="S1053" t="str">
        <f>HYPERLINK("https://docs.wto.org/imrd/directdoc.asp?DDFDocuments/u/G/SPS/NBDI145.docx", "https://docs.wto.org/imrd/directdoc.asp?DDFDocuments/u/G/SPS/NBDI145.docx")</f>
        <v>https://docs.wto.org/imrd/directdoc.asp?DDFDocuments/u/G/SPS/NBDI145.docx</v>
      </c>
      <c r="T1053" t="str">
        <f>HYPERLINK("https://docs.wto.org/imrd/directdoc.asp?DDFDocuments/v/G/SPS/NBDI145.docx", "https://docs.wto.org/imrd/directdoc.asp?DDFDocuments/v/G/SPS/NBDI145.docx")</f>
        <v>https://docs.wto.org/imrd/directdoc.asp?DDFDocuments/v/G/SPS/NBDI145.docx</v>
      </c>
      <c r="U1053" t="s">
        <v>43</v>
      </c>
      <c r="V1053" t="s">
        <v>43</v>
      </c>
      <c r="W1053" t="s">
        <v>43</v>
      </c>
      <c r="X1053" t="s">
        <v>43</v>
      </c>
      <c r="Y1053" t="s">
        <v>43</v>
      </c>
      <c r="Z1053" t="s">
        <v>43</v>
      </c>
      <c r="AA1053" t="s">
        <v>43</v>
      </c>
      <c r="AB1053" s="2" t="s">
        <v>43</v>
      </c>
      <c r="AC1053" t="s">
        <v>46</v>
      </c>
      <c r="AD1053" t="s">
        <v>46</v>
      </c>
      <c r="AE1053" t="s">
        <v>46</v>
      </c>
      <c r="AF1053" t="s">
        <v>64</v>
      </c>
      <c r="AG1053" t="s">
        <v>99</v>
      </c>
      <c r="AH1053" s="2" t="s">
        <v>43</v>
      </c>
    </row>
    <row r="1054" spans="1:34" ht="375">
      <c r="A1054" s="6" t="s">
        <v>577</v>
      </c>
      <c r="B1054" s="7">
        <v>46044</v>
      </c>
      <c r="C1054" s="9" t="str">
        <f>HYPERLINK("https://eping.wto.org/en/Search?viewData= G/TBT/N/BDI/712, G/TBT/N/KEN/1980, G/TBT/N/RWA/1342, G/TBT/N/TZA/1495, G/TBT/N/UGA/2311"," G/TBT/N/BDI/712, G/TBT/N/KEN/1980, G/TBT/N/RWA/1342, G/TBT/N/TZA/1495, G/TBT/N/UGA/2311")</f>
        <v xml:space="preserve"> G/TBT/N/BDI/712, G/TBT/N/KEN/1980, G/TBT/N/RWA/1342, G/TBT/N/TZA/1495, G/TBT/N/UGA/2311</v>
      </c>
      <c r="D1054" s="8" t="s">
        <v>4109</v>
      </c>
      <c r="E1054" s="8" t="s">
        <v>4110</v>
      </c>
      <c r="F1054" s="8" t="s">
        <v>4111</v>
      </c>
      <c r="G1054" s="8" t="s">
        <v>4112</v>
      </c>
      <c r="H1054" s="8" t="s">
        <v>4113</v>
      </c>
      <c r="I1054" s="8" t="s">
        <v>684</v>
      </c>
      <c r="J1054" s="8" t="s">
        <v>43</v>
      </c>
      <c r="K1054" s="8" t="s">
        <v>240</v>
      </c>
      <c r="L1054" s="6"/>
      <c r="M1054" s="7">
        <v>46104</v>
      </c>
      <c r="N1054" s="7" t="s">
        <v>79</v>
      </c>
      <c r="O1054" s="7" t="s">
        <v>79</v>
      </c>
      <c r="P1054" s="6" t="s">
        <v>62</v>
      </c>
      <c r="Q1054" s="8" t="s">
        <v>4114</v>
      </c>
      <c r="R1054" t="str">
        <f>HYPERLINK("https://docs.wto.org/imrd/directdoc.asp?DDFDocuments/t/G/TBTN26/BDI712.docx", "https://docs.wto.org/imrd/directdoc.asp?DDFDocuments/t/G/TBTN26/BDI712.docx")</f>
        <v>https://docs.wto.org/imrd/directdoc.asp?DDFDocuments/t/G/TBTN26/BDI712.docx</v>
      </c>
      <c r="S1054" t="str">
        <f>HYPERLINK("https://docs.wto.org/imrd/directdoc.asp?DDFDocuments/u/G/TBTN26/BDI712.docx", "https://docs.wto.org/imrd/directdoc.asp?DDFDocuments/u/G/TBTN26/BDI712.docx")</f>
        <v>https://docs.wto.org/imrd/directdoc.asp?DDFDocuments/u/G/TBTN26/BDI712.docx</v>
      </c>
      <c r="T1054" t="str">
        <f>HYPERLINK("https://docs.wto.org/imrd/directdoc.asp?DDFDocuments/v/G/TBTN26/BDI712.docx", "https://docs.wto.org/imrd/directdoc.asp?DDFDocuments/v/G/TBTN26/BDI712.docx")</f>
        <v>https://docs.wto.org/imrd/directdoc.asp?DDFDocuments/v/G/TBTN26/BDI712.docx</v>
      </c>
      <c r="U1054" t="s">
        <v>64</v>
      </c>
      <c r="V1054" t="s">
        <v>46</v>
      </c>
      <c r="W1054" t="s">
        <v>46</v>
      </c>
      <c r="X1054" t="s">
        <v>46</v>
      </c>
      <c r="Y1054" t="s">
        <v>46</v>
      </c>
      <c r="Z1054" t="s">
        <v>46</v>
      </c>
      <c r="AA1054" t="s">
        <v>46</v>
      </c>
      <c r="AB1054" s="2" t="s">
        <v>4115</v>
      </c>
      <c r="AC1054" t="s">
        <v>43</v>
      </c>
      <c r="AD1054" t="s">
        <v>43</v>
      </c>
      <c r="AE1054" t="s">
        <v>43</v>
      </c>
      <c r="AF1054" t="s">
        <v>43</v>
      </c>
      <c r="AG1054" t="s">
        <v>43</v>
      </c>
      <c r="AH1054" s="2" t="s">
        <v>43</v>
      </c>
    </row>
    <row r="1055" spans="1:34" ht="195">
      <c r="A1055" s="6" t="s">
        <v>108</v>
      </c>
      <c r="B1055" s="7">
        <v>46044</v>
      </c>
      <c r="C1055" s="9" t="str">
        <f>HYPERLINK("https://eping.wto.org/en/Search?viewData= G/TBT/N/BDI/713, G/TBT/N/KEN/1981, G/TBT/N/RWA/1343, G/TBT/N/TZA/1496, G/TBT/N/UGA/2312"," G/TBT/N/BDI/713, G/TBT/N/KEN/1981, G/TBT/N/RWA/1343, G/TBT/N/TZA/1496, G/TBT/N/UGA/2312")</f>
        <v xml:space="preserve"> G/TBT/N/BDI/713, G/TBT/N/KEN/1981, G/TBT/N/RWA/1343, G/TBT/N/TZA/1496, G/TBT/N/UGA/2312</v>
      </c>
      <c r="D1055" s="8" t="s">
        <v>4095</v>
      </c>
      <c r="E1055" s="8" t="s">
        <v>4096</v>
      </c>
      <c r="F1055" s="8" t="s">
        <v>4097</v>
      </c>
      <c r="G1055" s="8" t="s">
        <v>4098</v>
      </c>
      <c r="H1055" s="8" t="s">
        <v>4099</v>
      </c>
      <c r="I1055" s="8" t="s">
        <v>684</v>
      </c>
      <c r="J1055" s="8" t="s">
        <v>43</v>
      </c>
      <c r="K1055" s="8" t="s">
        <v>4100</v>
      </c>
      <c r="L1055" s="6"/>
      <c r="M1055" s="7">
        <v>46104</v>
      </c>
      <c r="N1055" s="7" t="s">
        <v>79</v>
      </c>
      <c r="O1055" s="7" t="s">
        <v>79</v>
      </c>
      <c r="P1055" s="6" t="s">
        <v>62</v>
      </c>
      <c r="Q1055" s="8" t="s">
        <v>4101</v>
      </c>
      <c r="R1055" t="str">
        <f>HYPERLINK("https://docs.wto.org/imrd/directdoc.asp?DDFDocuments/t/G/TBTN26/BDI713.docx", "https://docs.wto.org/imrd/directdoc.asp?DDFDocuments/t/G/TBTN26/BDI713.docx")</f>
        <v>https://docs.wto.org/imrd/directdoc.asp?DDFDocuments/t/G/TBTN26/BDI713.docx</v>
      </c>
      <c r="S1055" t="str">
        <f>HYPERLINK("https://docs.wto.org/imrd/directdoc.asp?DDFDocuments/u/G/TBTN26/BDI713.docx", "https://docs.wto.org/imrd/directdoc.asp?DDFDocuments/u/G/TBTN26/BDI713.docx")</f>
        <v>https://docs.wto.org/imrd/directdoc.asp?DDFDocuments/u/G/TBTN26/BDI713.docx</v>
      </c>
      <c r="T1055" t="str">
        <f>HYPERLINK("https://docs.wto.org/imrd/directdoc.asp?DDFDocuments/v/G/TBTN26/BDI713.docx", "https://docs.wto.org/imrd/directdoc.asp?DDFDocuments/v/G/TBTN26/BDI713.docx")</f>
        <v>https://docs.wto.org/imrd/directdoc.asp?DDFDocuments/v/G/TBTN26/BDI713.docx</v>
      </c>
      <c r="U1055" t="s">
        <v>64</v>
      </c>
      <c r="V1055" t="s">
        <v>46</v>
      </c>
      <c r="W1055" t="s">
        <v>46</v>
      </c>
      <c r="X1055" t="s">
        <v>46</v>
      </c>
      <c r="Y1055" t="s">
        <v>46</v>
      </c>
      <c r="Z1055" t="s">
        <v>46</v>
      </c>
      <c r="AA1055" t="s">
        <v>46</v>
      </c>
      <c r="AB1055" s="2" t="s">
        <v>4102</v>
      </c>
      <c r="AC1055" t="s">
        <v>43</v>
      </c>
      <c r="AD1055" t="s">
        <v>43</v>
      </c>
      <c r="AE1055" t="s">
        <v>43</v>
      </c>
      <c r="AF1055" t="s">
        <v>43</v>
      </c>
      <c r="AG1055" t="s">
        <v>43</v>
      </c>
      <c r="AH1055" s="2" t="s">
        <v>43</v>
      </c>
    </row>
    <row r="1056" spans="1:34" ht="30">
      <c r="A1056" s="6" t="s">
        <v>3473</v>
      </c>
      <c r="B1056" s="7">
        <v>46044</v>
      </c>
      <c r="C1056" s="9" t="str">
        <f>HYPERLINK("https://eping.wto.org/en/Search?viewData= G/TBT/N/GEO/131"," G/TBT/N/GEO/131")</f>
        <v xml:space="preserve"> G/TBT/N/GEO/131</v>
      </c>
      <c r="D1056" s="8" t="s">
        <v>4157</v>
      </c>
      <c r="E1056" s="8" t="s">
        <v>4158</v>
      </c>
      <c r="F1056" s="8" t="s">
        <v>4159</v>
      </c>
      <c r="G1056" s="8" t="s">
        <v>43</v>
      </c>
      <c r="H1056" s="8" t="s">
        <v>4160</v>
      </c>
      <c r="I1056" s="8" t="s">
        <v>143</v>
      </c>
      <c r="J1056" s="8" t="s">
        <v>43</v>
      </c>
      <c r="K1056" s="8" t="s">
        <v>43</v>
      </c>
      <c r="L1056" s="6"/>
      <c r="M1056" s="7">
        <v>46080</v>
      </c>
      <c r="N1056" s="7" t="s">
        <v>79</v>
      </c>
      <c r="O1056" s="7" t="s">
        <v>79</v>
      </c>
      <c r="P1056" s="6" t="s">
        <v>62</v>
      </c>
      <c r="Q1056" s="6"/>
      <c r="R1056" t="str">
        <f>HYPERLINK("https://docs.wto.org/imrd/directdoc.asp?DDFDocuments/t/G/TBTN26/GEO131.docx", "https://docs.wto.org/imrd/directdoc.asp?DDFDocuments/t/G/TBTN26/GEO131.docx")</f>
        <v>https://docs.wto.org/imrd/directdoc.asp?DDFDocuments/t/G/TBTN26/GEO131.docx</v>
      </c>
      <c r="S1056" t="str">
        <f>HYPERLINK("https://docs.wto.org/imrd/directdoc.asp?DDFDocuments/u/G/TBTN26/GEO131.docx", "https://docs.wto.org/imrd/directdoc.asp?DDFDocuments/u/G/TBTN26/GEO131.docx")</f>
        <v>https://docs.wto.org/imrd/directdoc.asp?DDFDocuments/u/G/TBTN26/GEO131.docx</v>
      </c>
      <c r="T1056" t="str">
        <f>HYPERLINK("https://docs.wto.org/imrd/directdoc.asp?DDFDocuments/v/G/TBTN26/GEO131.docx", "https://docs.wto.org/imrd/directdoc.asp?DDFDocuments/v/G/TBTN26/GEO131.docx")</f>
        <v>https://docs.wto.org/imrd/directdoc.asp?DDFDocuments/v/G/TBTN26/GEO131.docx</v>
      </c>
      <c r="U1056" t="s">
        <v>64</v>
      </c>
      <c r="V1056" t="s">
        <v>46</v>
      </c>
      <c r="W1056" t="s">
        <v>46</v>
      </c>
      <c r="X1056" t="s">
        <v>46</v>
      </c>
      <c r="Y1056" t="s">
        <v>46</v>
      </c>
      <c r="Z1056" t="s">
        <v>46</v>
      </c>
      <c r="AA1056" t="s">
        <v>46</v>
      </c>
      <c r="AB1056" s="2" t="s">
        <v>4161</v>
      </c>
      <c r="AC1056" t="s">
        <v>43</v>
      </c>
      <c r="AD1056" t="s">
        <v>43</v>
      </c>
      <c r="AE1056" t="s">
        <v>43</v>
      </c>
      <c r="AF1056" t="s">
        <v>43</v>
      </c>
      <c r="AG1056" t="s">
        <v>43</v>
      </c>
      <c r="AH1056" s="2" t="s">
        <v>43</v>
      </c>
    </row>
    <row r="1057" spans="1:34" ht="195">
      <c r="A1057" s="6" t="s">
        <v>390</v>
      </c>
      <c r="B1057" s="7">
        <v>46044</v>
      </c>
      <c r="C1057" s="9" t="str">
        <f>HYPERLINK("https://eping.wto.org/en/Search?viewData= G/TBT/N/BDI/713, G/TBT/N/KEN/1981, G/TBT/N/RWA/1343, G/TBT/N/TZA/1496, G/TBT/N/UGA/2312"," G/TBT/N/BDI/713, G/TBT/N/KEN/1981, G/TBT/N/RWA/1343, G/TBT/N/TZA/1496, G/TBT/N/UGA/2312")</f>
        <v xml:space="preserve"> G/TBT/N/BDI/713, G/TBT/N/KEN/1981, G/TBT/N/RWA/1343, G/TBT/N/TZA/1496, G/TBT/N/UGA/2312</v>
      </c>
      <c r="D1057" s="8" t="s">
        <v>4095</v>
      </c>
      <c r="E1057" s="8" t="s">
        <v>4096</v>
      </c>
      <c r="F1057" s="8" t="s">
        <v>4097</v>
      </c>
      <c r="G1057" s="8" t="s">
        <v>4098</v>
      </c>
      <c r="H1057" s="8" t="s">
        <v>4099</v>
      </c>
      <c r="I1057" s="8" t="s">
        <v>684</v>
      </c>
      <c r="J1057" s="8" t="s">
        <v>43</v>
      </c>
      <c r="K1057" s="8" t="s">
        <v>4162</v>
      </c>
      <c r="L1057" s="6"/>
      <c r="M1057" s="7">
        <v>46104</v>
      </c>
      <c r="N1057" s="7" t="s">
        <v>79</v>
      </c>
      <c r="O1057" s="7" t="s">
        <v>79</v>
      </c>
      <c r="P1057" s="6" t="s">
        <v>62</v>
      </c>
      <c r="Q1057" s="8" t="s">
        <v>4101</v>
      </c>
      <c r="R1057" t="str">
        <f>HYPERLINK("https://docs.wto.org/imrd/directdoc.asp?DDFDocuments/t/G/TBTN26/BDI713.docx", "https://docs.wto.org/imrd/directdoc.asp?DDFDocuments/t/G/TBTN26/BDI713.docx")</f>
        <v>https://docs.wto.org/imrd/directdoc.asp?DDFDocuments/t/G/TBTN26/BDI713.docx</v>
      </c>
      <c r="S1057" t="str">
        <f>HYPERLINK("https://docs.wto.org/imrd/directdoc.asp?DDFDocuments/u/G/TBTN26/BDI713.docx", "https://docs.wto.org/imrd/directdoc.asp?DDFDocuments/u/G/TBTN26/BDI713.docx")</f>
        <v>https://docs.wto.org/imrd/directdoc.asp?DDFDocuments/u/G/TBTN26/BDI713.docx</v>
      </c>
      <c r="T1057" t="str">
        <f>HYPERLINK("https://docs.wto.org/imrd/directdoc.asp?DDFDocuments/v/G/TBTN26/BDI713.docx", "https://docs.wto.org/imrd/directdoc.asp?DDFDocuments/v/G/TBTN26/BDI713.docx")</f>
        <v>https://docs.wto.org/imrd/directdoc.asp?DDFDocuments/v/G/TBTN26/BDI713.docx</v>
      </c>
      <c r="U1057" t="s">
        <v>64</v>
      </c>
      <c r="V1057" t="s">
        <v>46</v>
      </c>
      <c r="W1057" t="s">
        <v>46</v>
      </c>
      <c r="X1057" t="s">
        <v>46</v>
      </c>
      <c r="Y1057" t="s">
        <v>46</v>
      </c>
      <c r="Z1057" t="s">
        <v>46</v>
      </c>
      <c r="AA1057" t="s">
        <v>46</v>
      </c>
      <c r="AB1057" s="2" t="s">
        <v>4102</v>
      </c>
      <c r="AC1057" t="s">
        <v>43</v>
      </c>
      <c r="AD1057" t="s">
        <v>43</v>
      </c>
      <c r="AE1057" t="s">
        <v>43</v>
      </c>
      <c r="AF1057" t="s">
        <v>43</v>
      </c>
      <c r="AG1057" t="s">
        <v>43</v>
      </c>
      <c r="AH1057" s="2" t="s">
        <v>43</v>
      </c>
    </row>
    <row r="1058" spans="1:34" ht="45">
      <c r="A1058" s="6" t="s">
        <v>82</v>
      </c>
      <c r="B1058" s="7">
        <v>46044</v>
      </c>
      <c r="C1058" s="9" t="str">
        <f>HYPERLINK("https://eping.wto.org/en/Search?viewData= G/SPS/N/JPN/1383"," G/SPS/N/JPN/1383")</f>
        <v xml:space="preserve"> G/SPS/N/JPN/1383</v>
      </c>
      <c r="D1058" s="8" t="s">
        <v>4163</v>
      </c>
      <c r="E1058" s="8" t="s">
        <v>4164</v>
      </c>
      <c r="F1058" s="8" t="s">
        <v>4165</v>
      </c>
      <c r="G1058" s="8" t="s">
        <v>43</v>
      </c>
      <c r="H1058" s="8" t="s">
        <v>43</v>
      </c>
      <c r="I1058" s="8" t="s">
        <v>58</v>
      </c>
      <c r="J1058" s="8" t="s">
        <v>43</v>
      </c>
      <c r="K1058" s="8" t="s">
        <v>157</v>
      </c>
      <c r="L1058" s="6" t="s">
        <v>43</v>
      </c>
      <c r="M1058" s="7">
        <v>46104</v>
      </c>
      <c r="N1058" s="7" t="s">
        <v>4166</v>
      </c>
      <c r="O1058" s="7" t="s">
        <v>4167</v>
      </c>
      <c r="P1058" s="6" t="s">
        <v>62</v>
      </c>
      <c r="Q1058" s="8" t="s">
        <v>4168</v>
      </c>
      <c r="R1058" t="str">
        <f>HYPERLINK("https://docs.wto.org/imrd/directdoc.asp?DDFDocuments/t/G/SPS/NJPN1383.docx", "https://docs.wto.org/imrd/directdoc.asp?DDFDocuments/t/G/SPS/NJPN1383.docx")</f>
        <v>https://docs.wto.org/imrd/directdoc.asp?DDFDocuments/t/G/SPS/NJPN1383.docx</v>
      </c>
      <c r="S1058" t="str">
        <f>HYPERLINK("https://docs.wto.org/imrd/directdoc.asp?DDFDocuments/u/G/SPS/NJPN1383.docx", "https://docs.wto.org/imrd/directdoc.asp?DDFDocuments/u/G/SPS/NJPN1383.docx")</f>
        <v>https://docs.wto.org/imrd/directdoc.asp?DDFDocuments/u/G/SPS/NJPN1383.docx</v>
      </c>
      <c r="T1058" t="str">
        <f>HYPERLINK("https://docs.wto.org/imrd/directdoc.asp?DDFDocuments/v/G/SPS/NJPN1383.docx", "https://docs.wto.org/imrd/directdoc.asp?DDFDocuments/v/G/SPS/NJPN1383.docx")</f>
        <v>https://docs.wto.org/imrd/directdoc.asp?DDFDocuments/v/G/SPS/NJPN1383.docx</v>
      </c>
      <c r="U1058" t="s">
        <v>43</v>
      </c>
      <c r="V1058" t="s">
        <v>43</v>
      </c>
      <c r="W1058" t="s">
        <v>43</v>
      </c>
      <c r="X1058" t="s">
        <v>43</v>
      </c>
      <c r="Y1058" t="s">
        <v>43</v>
      </c>
      <c r="Z1058" t="s">
        <v>43</v>
      </c>
      <c r="AA1058" t="s">
        <v>43</v>
      </c>
      <c r="AB1058" s="2" t="s">
        <v>43</v>
      </c>
      <c r="AC1058" t="s">
        <v>46</v>
      </c>
      <c r="AD1058" t="s">
        <v>46</v>
      </c>
      <c r="AE1058" t="s">
        <v>46</v>
      </c>
      <c r="AF1058" t="s">
        <v>64</v>
      </c>
      <c r="AG1058" t="s">
        <v>99</v>
      </c>
      <c r="AH1058" s="2" t="s">
        <v>43</v>
      </c>
    </row>
    <row r="1059" spans="1:34" ht="375">
      <c r="A1059" s="6" t="s">
        <v>390</v>
      </c>
      <c r="B1059" s="7">
        <v>46044</v>
      </c>
      <c r="C1059" s="9" t="str">
        <f>HYPERLINK("https://eping.wto.org/en/Search?viewData= G/TBT/N/BDI/712, G/TBT/N/KEN/1980, G/TBT/N/RWA/1342, G/TBT/N/TZA/1495, G/TBT/N/UGA/2311"," G/TBT/N/BDI/712, G/TBT/N/KEN/1980, G/TBT/N/RWA/1342, G/TBT/N/TZA/1495, G/TBT/N/UGA/2311")</f>
        <v xml:space="preserve"> G/TBT/N/BDI/712, G/TBT/N/KEN/1980, G/TBT/N/RWA/1342, G/TBT/N/TZA/1495, G/TBT/N/UGA/2311</v>
      </c>
      <c r="D1059" s="8" t="s">
        <v>4109</v>
      </c>
      <c r="E1059" s="8" t="s">
        <v>4110</v>
      </c>
      <c r="F1059" s="8" t="s">
        <v>4111</v>
      </c>
      <c r="G1059" s="8" t="s">
        <v>4112</v>
      </c>
      <c r="H1059" s="8" t="s">
        <v>4113</v>
      </c>
      <c r="I1059" s="8" t="s">
        <v>684</v>
      </c>
      <c r="J1059" s="8" t="s">
        <v>43</v>
      </c>
      <c r="K1059" s="8" t="s">
        <v>240</v>
      </c>
      <c r="L1059" s="6"/>
      <c r="M1059" s="7">
        <v>46104</v>
      </c>
      <c r="N1059" s="7" t="s">
        <v>79</v>
      </c>
      <c r="O1059" s="7" t="s">
        <v>79</v>
      </c>
      <c r="P1059" s="6" t="s">
        <v>62</v>
      </c>
      <c r="Q1059" s="8" t="s">
        <v>4114</v>
      </c>
      <c r="R1059" t="str">
        <f>HYPERLINK("https://docs.wto.org/imrd/directdoc.asp?DDFDocuments/t/G/TBTN26/BDI712.docx", "https://docs.wto.org/imrd/directdoc.asp?DDFDocuments/t/G/TBTN26/BDI712.docx")</f>
        <v>https://docs.wto.org/imrd/directdoc.asp?DDFDocuments/t/G/TBTN26/BDI712.docx</v>
      </c>
      <c r="S1059" t="str">
        <f>HYPERLINK("https://docs.wto.org/imrd/directdoc.asp?DDFDocuments/u/G/TBTN26/BDI712.docx", "https://docs.wto.org/imrd/directdoc.asp?DDFDocuments/u/G/TBTN26/BDI712.docx")</f>
        <v>https://docs.wto.org/imrd/directdoc.asp?DDFDocuments/u/G/TBTN26/BDI712.docx</v>
      </c>
      <c r="T1059" t="str">
        <f>HYPERLINK("https://docs.wto.org/imrd/directdoc.asp?DDFDocuments/v/G/TBTN26/BDI712.docx", "https://docs.wto.org/imrd/directdoc.asp?DDFDocuments/v/G/TBTN26/BDI712.docx")</f>
        <v>https://docs.wto.org/imrd/directdoc.asp?DDFDocuments/v/G/TBTN26/BDI712.docx</v>
      </c>
      <c r="U1059" t="s">
        <v>64</v>
      </c>
      <c r="V1059" t="s">
        <v>46</v>
      </c>
      <c r="W1059" t="s">
        <v>46</v>
      </c>
      <c r="X1059" t="s">
        <v>46</v>
      </c>
      <c r="Y1059" t="s">
        <v>46</v>
      </c>
      <c r="Z1059" t="s">
        <v>46</v>
      </c>
      <c r="AA1059" t="s">
        <v>46</v>
      </c>
      <c r="AB1059" s="2" t="s">
        <v>4115</v>
      </c>
      <c r="AC1059" t="s">
        <v>43</v>
      </c>
      <c r="AD1059" t="s">
        <v>43</v>
      </c>
      <c r="AE1059" t="s">
        <v>43</v>
      </c>
      <c r="AF1059" t="s">
        <v>43</v>
      </c>
      <c r="AG1059" t="s">
        <v>43</v>
      </c>
      <c r="AH1059" s="2" t="s">
        <v>43</v>
      </c>
    </row>
    <row r="1060" spans="1:34" ht="60">
      <c r="A1060" s="6" t="s">
        <v>390</v>
      </c>
      <c r="B1060" s="7">
        <v>46044</v>
      </c>
      <c r="C1060" s="9" t="str">
        <f>HYPERLINK("https://eping.wto.org/en/Search?viewData= G/SPS/N/BDI/145, G/SPS/N/KEN/353, G/SPS/N/RWA/138, G/SPS/N/TZA/496, G/SPS/N/UGA/466"," G/SPS/N/BDI/145, G/SPS/N/KEN/353, G/SPS/N/RWA/138, G/SPS/N/TZA/496, G/SPS/N/UGA/466")</f>
        <v xml:space="preserve"> G/SPS/N/BDI/145, G/SPS/N/KEN/353, G/SPS/N/RWA/138, G/SPS/N/TZA/496, G/SPS/N/UGA/466</v>
      </c>
      <c r="D1060" s="8" t="s">
        <v>4154</v>
      </c>
      <c r="E1060" s="8" t="s">
        <v>4155</v>
      </c>
      <c r="F1060" s="8" t="s">
        <v>4111</v>
      </c>
      <c r="G1060" s="8" t="s">
        <v>4112</v>
      </c>
      <c r="H1060" s="8" t="s">
        <v>4113</v>
      </c>
      <c r="I1060" s="8" t="s">
        <v>58</v>
      </c>
      <c r="J1060" s="8" t="s">
        <v>43</v>
      </c>
      <c r="K1060" s="8" t="s">
        <v>310</v>
      </c>
      <c r="L1060" s="6" t="s">
        <v>43</v>
      </c>
      <c r="M1060" s="7">
        <v>46104</v>
      </c>
      <c r="N1060" s="7" t="s">
        <v>396</v>
      </c>
      <c r="O1060" s="7" t="s">
        <v>304</v>
      </c>
      <c r="P1060" s="6" t="s">
        <v>62</v>
      </c>
      <c r="Q1060" s="8" t="s">
        <v>4156</v>
      </c>
      <c r="R1060" t="str">
        <f>HYPERLINK("https://docs.wto.org/imrd/directdoc.asp?DDFDocuments/t/G/SPS/NBDI145.docx", "https://docs.wto.org/imrd/directdoc.asp?DDFDocuments/t/G/SPS/NBDI145.docx")</f>
        <v>https://docs.wto.org/imrd/directdoc.asp?DDFDocuments/t/G/SPS/NBDI145.docx</v>
      </c>
      <c r="S1060" t="str">
        <f>HYPERLINK("https://docs.wto.org/imrd/directdoc.asp?DDFDocuments/u/G/SPS/NBDI145.docx", "https://docs.wto.org/imrd/directdoc.asp?DDFDocuments/u/G/SPS/NBDI145.docx")</f>
        <v>https://docs.wto.org/imrd/directdoc.asp?DDFDocuments/u/G/SPS/NBDI145.docx</v>
      </c>
      <c r="T1060" t="str">
        <f>HYPERLINK("https://docs.wto.org/imrd/directdoc.asp?DDFDocuments/v/G/SPS/NBDI145.docx", "https://docs.wto.org/imrd/directdoc.asp?DDFDocuments/v/G/SPS/NBDI145.docx")</f>
        <v>https://docs.wto.org/imrd/directdoc.asp?DDFDocuments/v/G/SPS/NBDI145.docx</v>
      </c>
      <c r="U1060" t="s">
        <v>43</v>
      </c>
      <c r="V1060" t="s">
        <v>43</v>
      </c>
      <c r="W1060" t="s">
        <v>43</v>
      </c>
      <c r="X1060" t="s">
        <v>43</v>
      </c>
      <c r="Y1060" t="s">
        <v>43</v>
      </c>
      <c r="Z1060" t="s">
        <v>43</v>
      </c>
      <c r="AA1060" t="s">
        <v>43</v>
      </c>
      <c r="AB1060" s="2" t="s">
        <v>43</v>
      </c>
      <c r="AC1060" t="s">
        <v>46</v>
      </c>
      <c r="AD1060" t="s">
        <v>46</v>
      </c>
      <c r="AE1060" t="s">
        <v>46</v>
      </c>
      <c r="AF1060" t="s">
        <v>64</v>
      </c>
      <c r="AG1060" t="s">
        <v>99</v>
      </c>
      <c r="AH1060" s="2" t="s">
        <v>43</v>
      </c>
    </row>
    <row r="1061" spans="1:34" ht="75">
      <c r="A1061" s="6" t="s">
        <v>390</v>
      </c>
      <c r="B1061" s="7">
        <v>46044</v>
      </c>
      <c r="C1061" s="9" t="str">
        <f>HYPERLINK("https://eping.wto.org/en/Search?viewData= G/SPS/N/TZA/497"," G/SPS/N/TZA/497")</f>
        <v xml:space="preserve"> G/SPS/N/TZA/497</v>
      </c>
      <c r="D1061" s="8" t="s">
        <v>4169</v>
      </c>
      <c r="E1061" s="8" t="s">
        <v>4170</v>
      </c>
      <c r="F1061" s="8" t="s">
        <v>4171</v>
      </c>
      <c r="G1061" s="8" t="s">
        <v>4125</v>
      </c>
      <c r="H1061" s="8" t="s">
        <v>3148</v>
      </c>
      <c r="I1061" s="8" t="s">
        <v>58</v>
      </c>
      <c r="J1061" s="8" t="s">
        <v>43</v>
      </c>
      <c r="K1061" s="8" t="s">
        <v>310</v>
      </c>
      <c r="L1061" s="6" t="s">
        <v>43</v>
      </c>
      <c r="M1061" s="7">
        <v>46104</v>
      </c>
      <c r="N1061" s="7" t="s">
        <v>396</v>
      </c>
      <c r="O1061" s="7" t="s">
        <v>304</v>
      </c>
      <c r="P1061" s="6" t="s">
        <v>62</v>
      </c>
      <c r="Q1061" s="8" t="s">
        <v>4172</v>
      </c>
      <c r="R1061" t="str">
        <f>HYPERLINK("https://docs.wto.org/imrd/directdoc.asp?DDFDocuments/t/G/SPS/NTZA497.docx", "https://docs.wto.org/imrd/directdoc.asp?DDFDocuments/t/G/SPS/NTZA497.docx")</f>
        <v>https://docs.wto.org/imrd/directdoc.asp?DDFDocuments/t/G/SPS/NTZA497.docx</v>
      </c>
      <c r="S1061" t="str">
        <f>HYPERLINK("https://docs.wto.org/imrd/directdoc.asp?DDFDocuments/u/G/SPS/NTZA497.docx", "https://docs.wto.org/imrd/directdoc.asp?DDFDocuments/u/G/SPS/NTZA497.docx")</f>
        <v>https://docs.wto.org/imrd/directdoc.asp?DDFDocuments/u/G/SPS/NTZA497.docx</v>
      </c>
      <c r="T1061" t="str">
        <f>HYPERLINK("https://docs.wto.org/imrd/directdoc.asp?DDFDocuments/v/G/SPS/NTZA497.docx", "https://docs.wto.org/imrd/directdoc.asp?DDFDocuments/v/G/SPS/NTZA497.docx")</f>
        <v>https://docs.wto.org/imrd/directdoc.asp?DDFDocuments/v/G/SPS/NTZA497.docx</v>
      </c>
      <c r="U1061" t="s">
        <v>43</v>
      </c>
      <c r="V1061" t="s">
        <v>43</v>
      </c>
      <c r="W1061" t="s">
        <v>43</v>
      </c>
      <c r="X1061" t="s">
        <v>43</v>
      </c>
      <c r="Y1061" t="s">
        <v>43</v>
      </c>
      <c r="Z1061" t="s">
        <v>43</v>
      </c>
      <c r="AA1061" t="s">
        <v>43</v>
      </c>
      <c r="AB1061" s="2" t="s">
        <v>43</v>
      </c>
      <c r="AC1061" t="s">
        <v>46</v>
      </c>
      <c r="AD1061" t="s">
        <v>46</v>
      </c>
      <c r="AE1061" t="s">
        <v>46</v>
      </c>
      <c r="AF1061" t="s">
        <v>64</v>
      </c>
      <c r="AG1061" t="s">
        <v>99</v>
      </c>
      <c r="AH1061" s="2" t="s">
        <v>43</v>
      </c>
    </row>
    <row r="1062" spans="1:34" ht="60">
      <c r="A1062" s="6" t="s">
        <v>124</v>
      </c>
      <c r="B1062" s="7">
        <v>46044</v>
      </c>
      <c r="C1062" s="9" t="str">
        <f>HYPERLINK("https://eping.wto.org/en/Search?viewData= G/SPS/N/BDI/145, G/SPS/N/KEN/353, G/SPS/N/RWA/138, G/SPS/N/TZA/496, G/SPS/N/UGA/466"," G/SPS/N/BDI/145, G/SPS/N/KEN/353, G/SPS/N/RWA/138, G/SPS/N/TZA/496, G/SPS/N/UGA/466")</f>
        <v xml:space="preserve"> G/SPS/N/BDI/145, G/SPS/N/KEN/353, G/SPS/N/RWA/138, G/SPS/N/TZA/496, G/SPS/N/UGA/466</v>
      </c>
      <c r="D1062" s="8" t="s">
        <v>4154</v>
      </c>
      <c r="E1062" s="8" t="s">
        <v>4155</v>
      </c>
      <c r="F1062" s="8" t="s">
        <v>4111</v>
      </c>
      <c r="G1062" s="8" t="s">
        <v>4112</v>
      </c>
      <c r="H1062" s="8" t="s">
        <v>4113</v>
      </c>
      <c r="I1062" s="8" t="s">
        <v>58</v>
      </c>
      <c r="J1062" s="8" t="s">
        <v>43</v>
      </c>
      <c r="K1062" s="8" t="s">
        <v>157</v>
      </c>
      <c r="L1062" s="6" t="s">
        <v>43</v>
      </c>
      <c r="M1062" s="7">
        <v>46104</v>
      </c>
      <c r="N1062" s="7" t="s">
        <v>396</v>
      </c>
      <c r="O1062" s="7" t="s">
        <v>304</v>
      </c>
      <c r="P1062" s="6" t="s">
        <v>62</v>
      </c>
      <c r="Q1062" s="8" t="s">
        <v>4156</v>
      </c>
      <c r="R1062" t="str">
        <f>HYPERLINK("https://docs.wto.org/imrd/directdoc.asp?DDFDocuments/t/G/SPS/NBDI145.docx", "https://docs.wto.org/imrd/directdoc.asp?DDFDocuments/t/G/SPS/NBDI145.docx")</f>
        <v>https://docs.wto.org/imrd/directdoc.asp?DDFDocuments/t/G/SPS/NBDI145.docx</v>
      </c>
      <c r="S1062" t="str">
        <f>HYPERLINK("https://docs.wto.org/imrd/directdoc.asp?DDFDocuments/u/G/SPS/NBDI145.docx", "https://docs.wto.org/imrd/directdoc.asp?DDFDocuments/u/G/SPS/NBDI145.docx")</f>
        <v>https://docs.wto.org/imrd/directdoc.asp?DDFDocuments/u/G/SPS/NBDI145.docx</v>
      </c>
      <c r="T1062" t="str">
        <f>HYPERLINK("https://docs.wto.org/imrd/directdoc.asp?DDFDocuments/v/G/SPS/NBDI145.docx", "https://docs.wto.org/imrd/directdoc.asp?DDFDocuments/v/G/SPS/NBDI145.docx")</f>
        <v>https://docs.wto.org/imrd/directdoc.asp?DDFDocuments/v/G/SPS/NBDI145.docx</v>
      </c>
      <c r="U1062" t="s">
        <v>43</v>
      </c>
      <c r="V1062" t="s">
        <v>43</v>
      </c>
      <c r="W1062" t="s">
        <v>43</v>
      </c>
      <c r="X1062" t="s">
        <v>43</v>
      </c>
      <c r="Y1062" t="s">
        <v>43</v>
      </c>
      <c r="Z1062" t="s">
        <v>43</v>
      </c>
      <c r="AA1062" t="s">
        <v>43</v>
      </c>
      <c r="AB1062" s="2" t="s">
        <v>43</v>
      </c>
      <c r="AC1062" t="s">
        <v>46</v>
      </c>
      <c r="AD1062" t="s">
        <v>46</v>
      </c>
      <c r="AE1062" t="s">
        <v>46</v>
      </c>
      <c r="AF1062" t="s">
        <v>64</v>
      </c>
      <c r="AG1062" t="s">
        <v>99</v>
      </c>
      <c r="AH1062" s="2" t="s">
        <v>43</v>
      </c>
    </row>
    <row r="1063" spans="1:34" ht="195">
      <c r="A1063" s="6" t="s">
        <v>577</v>
      </c>
      <c r="B1063" s="7">
        <v>46044</v>
      </c>
      <c r="C1063" s="9" t="str">
        <f>HYPERLINK("https://eping.wto.org/en/Search?viewData= G/TBT/N/BDI/713, G/TBT/N/KEN/1981, G/TBT/N/RWA/1343, G/TBT/N/TZA/1496, G/TBT/N/UGA/2312"," G/TBT/N/BDI/713, G/TBT/N/KEN/1981, G/TBT/N/RWA/1343, G/TBT/N/TZA/1496, G/TBT/N/UGA/2312")</f>
        <v xml:space="preserve"> G/TBT/N/BDI/713, G/TBT/N/KEN/1981, G/TBT/N/RWA/1343, G/TBT/N/TZA/1496, G/TBT/N/UGA/2312</v>
      </c>
      <c r="D1063" s="8" t="s">
        <v>4095</v>
      </c>
      <c r="E1063" s="8" t="s">
        <v>4096</v>
      </c>
      <c r="F1063" s="8" t="s">
        <v>4097</v>
      </c>
      <c r="G1063" s="8" t="s">
        <v>4098</v>
      </c>
      <c r="H1063" s="8" t="s">
        <v>4099</v>
      </c>
      <c r="I1063" s="8" t="s">
        <v>684</v>
      </c>
      <c r="J1063" s="8" t="s">
        <v>43</v>
      </c>
      <c r="K1063" s="8" t="s">
        <v>4100</v>
      </c>
      <c r="L1063" s="6"/>
      <c r="M1063" s="7">
        <v>46104</v>
      </c>
      <c r="N1063" s="7" t="s">
        <v>79</v>
      </c>
      <c r="O1063" s="7" t="s">
        <v>79</v>
      </c>
      <c r="P1063" s="6" t="s">
        <v>62</v>
      </c>
      <c r="Q1063" s="8" t="s">
        <v>4101</v>
      </c>
      <c r="R1063" t="str">
        <f>HYPERLINK("https://docs.wto.org/imrd/directdoc.asp?DDFDocuments/t/G/TBTN26/BDI713.docx", "https://docs.wto.org/imrd/directdoc.asp?DDFDocuments/t/G/TBTN26/BDI713.docx")</f>
        <v>https://docs.wto.org/imrd/directdoc.asp?DDFDocuments/t/G/TBTN26/BDI713.docx</v>
      </c>
      <c r="S1063" t="str">
        <f>HYPERLINK("https://docs.wto.org/imrd/directdoc.asp?DDFDocuments/u/G/TBTN26/BDI713.docx", "https://docs.wto.org/imrd/directdoc.asp?DDFDocuments/u/G/TBTN26/BDI713.docx")</f>
        <v>https://docs.wto.org/imrd/directdoc.asp?DDFDocuments/u/G/TBTN26/BDI713.docx</v>
      </c>
      <c r="T1063" t="str">
        <f>HYPERLINK("https://docs.wto.org/imrd/directdoc.asp?DDFDocuments/v/G/TBTN26/BDI713.docx", "https://docs.wto.org/imrd/directdoc.asp?DDFDocuments/v/G/TBTN26/BDI713.docx")</f>
        <v>https://docs.wto.org/imrd/directdoc.asp?DDFDocuments/v/G/TBTN26/BDI713.docx</v>
      </c>
      <c r="U1063" t="s">
        <v>64</v>
      </c>
      <c r="V1063" t="s">
        <v>46</v>
      </c>
      <c r="W1063" t="s">
        <v>46</v>
      </c>
      <c r="X1063" t="s">
        <v>46</v>
      </c>
      <c r="Y1063" t="s">
        <v>46</v>
      </c>
      <c r="Z1063" t="s">
        <v>46</v>
      </c>
      <c r="AA1063" t="s">
        <v>46</v>
      </c>
      <c r="AB1063" s="2" t="s">
        <v>4102</v>
      </c>
      <c r="AC1063" t="s">
        <v>43</v>
      </c>
      <c r="AD1063" t="s">
        <v>43</v>
      </c>
      <c r="AE1063" t="s">
        <v>43</v>
      </c>
      <c r="AF1063" t="s">
        <v>43</v>
      </c>
      <c r="AG1063" t="s">
        <v>43</v>
      </c>
      <c r="AH1063" s="2" t="s">
        <v>43</v>
      </c>
    </row>
    <row r="1064" spans="1:34" ht="270">
      <c r="A1064" s="6" t="s">
        <v>122</v>
      </c>
      <c r="B1064" s="7">
        <v>46044</v>
      </c>
      <c r="C1064" s="9" t="str">
        <f>HYPERLINK("https://eping.wto.org/en/Search?viewData= G/TBT/N/TUR/232"," G/TBT/N/TUR/232")</f>
        <v xml:space="preserve"> G/TBT/N/TUR/232</v>
      </c>
      <c r="D1064" s="8" t="s">
        <v>4173</v>
      </c>
      <c r="E1064" s="8" t="s">
        <v>4174</v>
      </c>
      <c r="F1064" s="8" t="s">
        <v>4175</v>
      </c>
      <c r="G1064" s="8" t="s">
        <v>43</v>
      </c>
      <c r="H1064" s="8" t="s">
        <v>43</v>
      </c>
      <c r="I1064" s="8" t="s">
        <v>4176</v>
      </c>
      <c r="J1064" s="8" t="s">
        <v>4177</v>
      </c>
      <c r="K1064" s="8" t="s">
        <v>43</v>
      </c>
      <c r="L1064" s="6"/>
      <c r="M1064" s="7">
        <v>46104</v>
      </c>
      <c r="N1064" s="7" t="s">
        <v>4178</v>
      </c>
      <c r="O1064" s="7" t="s">
        <v>4179</v>
      </c>
      <c r="P1064" s="6" t="s">
        <v>62</v>
      </c>
      <c r="Q1064" s="8" t="s">
        <v>4180</v>
      </c>
      <c r="R1064" t="str">
        <f>HYPERLINK("https://docs.wto.org/imrd/directdoc.asp?DDFDocuments/t/G/TBTN26/TUR232.docx", "https://docs.wto.org/imrd/directdoc.asp?DDFDocuments/t/G/TBTN26/TUR232.docx")</f>
        <v>https://docs.wto.org/imrd/directdoc.asp?DDFDocuments/t/G/TBTN26/TUR232.docx</v>
      </c>
      <c r="S1064" t="str">
        <f>HYPERLINK("https://docs.wto.org/imrd/directdoc.asp?DDFDocuments/u/G/TBTN26/TUR232.docx", "https://docs.wto.org/imrd/directdoc.asp?DDFDocuments/u/G/TBTN26/TUR232.docx")</f>
        <v>https://docs.wto.org/imrd/directdoc.asp?DDFDocuments/u/G/TBTN26/TUR232.docx</v>
      </c>
      <c r="T1064" t="str">
        <f>HYPERLINK("https://docs.wto.org/imrd/directdoc.asp?DDFDocuments/v/G/TBTN26/TUR232.docx", "https://docs.wto.org/imrd/directdoc.asp?DDFDocuments/v/G/TBTN26/TUR232.docx")</f>
        <v>https://docs.wto.org/imrd/directdoc.asp?DDFDocuments/v/G/TBTN26/TUR232.docx</v>
      </c>
      <c r="U1064" t="s">
        <v>64</v>
      </c>
      <c r="V1064" t="s">
        <v>46</v>
      </c>
      <c r="W1064" t="s">
        <v>46</v>
      </c>
      <c r="X1064" t="s">
        <v>46</v>
      </c>
      <c r="Y1064" t="s">
        <v>46</v>
      </c>
      <c r="Z1064" t="s">
        <v>46</v>
      </c>
      <c r="AA1064" t="s">
        <v>46</v>
      </c>
      <c r="AB1064" s="2" t="s">
        <v>4181</v>
      </c>
      <c r="AC1064" t="s">
        <v>43</v>
      </c>
      <c r="AD1064" t="s">
        <v>43</v>
      </c>
      <c r="AE1064" t="s">
        <v>43</v>
      </c>
      <c r="AF1064" t="s">
        <v>43</v>
      </c>
      <c r="AG1064" t="s">
        <v>43</v>
      </c>
      <c r="AH1064" s="2" t="s">
        <v>43</v>
      </c>
    </row>
    <row r="1065" spans="1:34" ht="45">
      <c r="A1065" s="6" t="s">
        <v>289</v>
      </c>
      <c r="B1065" s="7">
        <v>46044</v>
      </c>
      <c r="C1065" s="9" t="str">
        <f>HYPERLINK("https://eping.wto.org/en/Search?viewData= G/TBT/N/BRA/1617"," G/TBT/N/BRA/1617")</f>
        <v xml:space="preserve"> G/TBT/N/BRA/1617</v>
      </c>
      <c r="D1065" s="8" t="s">
        <v>4182</v>
      </c>
      <c r="E1065" s="8" t="s">
        <v>4183</v>
      </c>
      <c r="F1065" s="8" t="s">
        <v>1398</v>
      </c>
      <c r="G1065" s="8" t="s">
        <v>1399</v>
      </c>
      <c r="H1065" s="8" t="s">
        <v>1400</v>
      </c>
      <c r="I1065" s="8" t="s">
        <v>129</v>
      </c>
      <c r="J1065" s="8" t="s">
        <v>43</v>
      </c>
      <c r="K1065" s="8" t="s">
        <v>43</v>
      </c>
      <c r="L1065" s="6"/>
      <c r="M1065" s="7">
        <v>46072</v>
      </c>
      <c r="N1065" s="7" t="s">
        <v>79</v>
      </c>
      <c r="O1065" s="7" t="s">
        <v>79</v>
      </c>
      <c r="P1065" s="6" t="s">
        <v>62</v>
      </c>
      <c r="Q1065" s="8" t="s">
        <v>4184</v>
      </c>
      <c r="R1065" t="str">
        <f>HYPERLINK("https://docs.wto.org/imrd/directdoc.asp?DDFDocuments/t/G/TBTN26/BRA1617.docx", "https://docs.wto.org/imrd/directdoc.asp?DDFDocuments/t/G/TBTN26/BRA1617.docx")</f>
        <v>https://docs.wto.org/imrd/directdoc.asp?DDFDocuments/t/G/TBTN26/BRA1617.docx</v>
      </c>
      <c r="S1065" t="str">
        <f>HYPERLINK("https://docs.wto.org/imrd/directdoc.asp?DDFDocuments/u/G/TBTN26/BRA1617.docx", "https://docs.wto.org/imrd/directdoc.asp?DDFDocuments/u/G/TBTN26/BRA1617.docx")</f>
        <v>https://docs.wto.org/imrd/directdoc.asp?DDFDocuments/u/G/TBTN26/BRA1617.docx</v>
      </c>
      <c r="T1065" t="str">
        <f>HYPERLINK("https://docs.wto.org/imrd/directdoc.asp?DDFDocuments/v/G/TBTN26/BRA1617.docx", "https://docs.wto.org/imrd/directdoc.asp?DDFDocuments/v/G/TBTN26/BRA1617.docx")</f>
        <v>https://docs.wto.org/imrd/directdoc.asp?DDFDocuments/v/G/TBTN26/BRA1617.docx</v>
      </c>
      <c r="U1065" t="s">
        <v>64</v>
      </c>
      <c r="V1065" t="s">
        <v>46</v>
      </c>
      <c r="W1065" t="s">
        <v>46</v>
      </c>
      <c r="X1065" t="s">
        <v>46</v>
      </c>
      <c r="Y1065" t="s">
        <v>46</v>
      </c>
      <c r="Z1065" t="s">
        <v>46</v>
      </c>
      <c r="AA1065" t="s">
        <v>46</v>
      </c>
      <c r="AB1065" s="2" t="s">
        <v>4185</v>
      </c>
      <c r="AC1065" t="s">
        <v>43</v>
      </c>
      <c r="AD1065" t="s">
        <v>43</v>
      </c>
      <c r="AE1065" t="s">
        <v>43</v>
      </c>
      <c r="AF1065" t="s">
        <v>43</v>
      </c>
      <c r="AG1065" t="s">
        <v>43</v>
      </c>
      <c r="AH1065" s="2" t="s">
        <v>43</v>
      </c>
    </row>
    <row r="1066" spans="1:34" ht="60">
      <c r="A1066" s="6" t="s">
        <v>577</v>
      </c>
      <c r="B1066" s="7">
        <v>46044</v>
      </c>
      <c r="C1066" s="9" t="str">
        <f>HYPERLINK("https://eping.wto.org/en/Search?viewData= G/SPS/N/BDI/145, G/SPS/N/KEN/353, G/SPS/N/RWA/138, G/SPS/N/TZA/496, G/SPS/N/UGA/466"," G/SPS/N/BDI/145, G/SPS/N/KEN/353, G/SPS/N/RWA/138, G/SPS/N/TZA/496, G/SPS/N/UGA/466")</f>
        <v xml:space="preserve"> G/SPS/N/BDI/145, G/SPS/N/KEN/353, G/SPS/N/RWA/138, G/SPS/N/TZA/496, G/SPS/N/UGA/466</v>
      </c>
      <c r="D1066" s="8" t="s">
        <v>4154</v>
      </c>
      <c r="E1066" s="8" t="s">
        <v>4155</v>
      </c>
      <c r="F1066" s="8" t="s">
        <v>4111</v>
      </c>
      <c r="G1066" s="8" t="s">
        <v>4112</v>
      </c>
      <c r="H1066" s="8" t="s">
        <v>4113</v>
      </c>
      <c r="I1066" s="8" t="s">
        <v>58</v>
      </c>
      <c r="J1066" s="8" t="s">
        <v>43</v>
      </c>
      <c r="K1066" s="8" t="s">
        <v>157</v>
      </c>
      <c r="L1066" s="6" t="s">
        <v>43</v>
      </c>
      <c r="M1066" s="7">
        <v>46104</v>
      </c>
      <c r="N1066" s="7" t="s">
        <v>396</v>
      </c>
      <c r="O1066" s="7" t="s">
        <v>304</v>
      </c>
      <c r="P1066" s="6" t="s">
        <v>62</v>
      </c>
      <c r="Q1066" s="8" t="s">
        <v>4156</v>
      </c>
      <c r="R1066" t="str">
        <f>HYPERLINK("https://docs.wto.org/imrd/directdoc.asp?DDFDocuments/t/G/SPS/NBDI145.docx", "https://docs.wto.org/imrd/directdoc.asp?DDFDocuments/t/G/SPS/NBDI145.docx")</f>
        <v>https://docs.wto.org/imrd/directdoc.asp?DDFDocuments/t/G/SPS/NBDI145.docx</v>
      </c>
      <c r="S1066" t="str">
        <f>HYPERLINK("https://docs.wto.org/imrd/directdoc.asp?DDFDocuments/u/G/SPS/NBDI145.docx", "https://docs.wto.org/imrd/directdoc.asp?DDFDocuments/u/G/SPS/NBDI145.docx")</f>
        <v>https://docs.wto.org/imrd/directdoc.asp?DDFDocuments/u/G/SPS/NBDI145.docx</v>
      </c>
      <c r="T1066" t="str">
        <f>HYPERLINK("https://docs.wto.org/imrd/directdoc.asp?DDFDocuments/v/G/SPS/NBDI145.docx", "https://docs.wto.org/imrd/directdoc.asp?DDFDocuments/v/G/SPS/NBDI145.docx")</f>
        <v>https://docs.wto.org/imrd/directdoc.asp?DDFDocuments/v/G/SPS/NBDI145.docx</v>
      </c>
      <c r="U1066" t="s">
        <v>43</v>
      </c>
      <c r="V1066" t="s">
        <v>43</v>
      </c>
      <c r="W1066" t="s">
        <v>43</v>
      </c>
      <c r="X1066" t="s">
        <v>43</v>
      </c>
      <c r="Y1066" t="s">
        <v>43</v>
      </c>
      <c r="Z1066" t="s">
        <v>43</v>
      </c>
      <c r="AA1066" t="s">
        <v>43</v>
      </c>
      <c r="AB1066" s="2" t="s">
        <v>43</v>
      </c>
      <c r="AC1066" t="s">
        <v>46</v>
      </c>
      <c r="AD1066" t="s">
        <v>46</v>
      </c>
      <c r="AE1066" t="s">
        <v>46</v>
      </c>
      <c r="AF1066" t="s">
        <v>64</v>
      </c>
      <c r="AG1066" t="s">
        <v>99</v>
      </c>
      <c r="AH1066" s="2" t="s">
        <v>43</v>
      </c>
    </row>
    <row r="1067" spans="1:34" ht="195">
      <c r="A1067" s="6" t="s">
        <v>509</v>
      </c>
      <c r="B1067" s="7">
        <v>46044</v>
      </c>
      <c r="C1067" s="9" t="str">
        <f>HYPERLINK("https://eping.wto.org/en/Search?viewData= G/TBT/N/BDI/713, G/TBT/N/KEN/1981, G/TBT/N/RWA/1343, G/TBT/N/TZA/1496, G/TBT/N/UGA/2312"," G/TBT/N/BDI/713, G/TBT/N/KEN/1981, G/TBT/N/RWA/1343, G/TBT/N/TZA/1496, G/TBT/N/UGA/2312")</f>
        <v xml:space="preserve"> G/TBT/N/BDI/713, G/TBT/N/KEN/1981, G/TBT/N/RWA/1343, G/TBT/N/TZA/1496, G/TBT/N/UGA/2312</v>
      </c>
      <c r="D1067" s="8" t="s">
        <v>4095</v>
      </c>
      <c r="E1067" s="8" t="s">
        <v>4096</v>
      </c>
      <c r="F1067" s="8" t="s">
        <v>4097</v>
      </c>
      <c r="G1067" s="8" t="s">
        <v>4098</v>
      </c>
      <c r="H1067" s="8" t="s">
        <v>4099</v>
      </c>
      <c r="I1067" s="8" t="s">
        <v>684</v>
      </c>
      <c r="J1067" s="8" t="s">
        <v>43</v>
      </c>
      <c r="K1067" s="8" t="s">
        <v>4100</v>
      </c>
      <c r="L1067" s="6"/>
      <c r="M1067" s="7">
        <v>46104</v>
      </c>
      <c r="N1067" s="7" t="s">
        <v>79</v>
      </c>
      <c r="O1067" s="7" t="s">
        <v>79</v>
      </c>
      <c r="P1067" s="6" t="s">
        <v>62</v>
      </c>
      <c r="Q1067" s="8" t="s">
        <v>4101</v>
      </c>
      <c r="R1067" t="str">
        <f>HYPERLINK("https://docs.wto.org/imrd/directdoc.asp?DDFDocuments/t/G/TBTN26/BDI713.docx", "https://docs.wto.org/imrd/directdoc.asp?DDFDocuments/t/G/TBTN26/BDI713.docx")</f>
        <v>https://docs.wto.org/imrd/directdoc.asp?DDFDocuments/t/G/TBTN26/BDI713.docx</v>
      </c>
      <c r="S1067" t="str">
        <f>HYPERLINK("https://docs.wto.org/imrd/directdoc.asp?DDFDocuments/u/G/TBTN26/BDI713.docx", "https://docs.wto.org/imrd/directdoc.asp?DDFDocuments/u/G/TBTN26/BDI713.docx")</f>
        <v>https://docs.wto.org/imrd/directdoc.asp?DDFDocuments/u/G/TBTN26/BDI713.docx</v>
      </c>
      <c r="T1067" t="str">
        <f>HYPERLINK("https://docs.wto.org/imrd/directdoc.asp?DDFDocuments/v/G/TBTN26/BDI713.docx", "https://docs.wto.org/imrd/directdoc.asp?DDFDocuments/v/G/TBTN26/BDI713.docx")</f>
        <v>https://docs.wto.org/imrd/directdoc.asp?DDFDocuments/v/G/TBTN26/BDI713.docx</v>
      </c>
      <c r="U1067" t="s">
        <v>64</v>
      </c>
      <c r="V1067" t="s">
        <v>46</v>
      </c>
      <c r="W1067" t="s">
        <v>46</v>
      </c>
      <c r="X1067" t="s">
        <v>46</v>
      </c>
      <c r="Y1067" t="s">
        <v>46</v>
      </c>
      <c r="Z1067" t="s">
        <v>46</v>
      </c>
      <c r="AA1067" t="s">
        <v>46</v>
      </c>
      <c r="AB1067" s="2" t="s">
        <v>4102</v>
      </c>
      <c r="AC1067" t="s">
        <v>43</v>
      </c>
      <c r="AD1067" t="s">
        <v>43</v>
      </c>
      <c r="AE1067" t="s">
        <v>43</v>
      </c>
      <c r="AF1067" t="s">
        <v>43</v>
      </c>
      <c r="AG1067" t="s">
        <v>43</v>
      </c>
      <c r="AH1067" s="2" t="s">
        <v>43</v>
      </c>
    </row>
    <row r="1068" spans="1:34" ht="105">
      <c r="A1068" s="6" t="s">
        <v>3473</v>
      </c>
      <c r="B1068" s="7">
        <v>46044</v>
      </c>
      <c r="C1068" s="9" t="str">
        <f>HYPERLINK("https://eping.wto.org/en/Search?viewData= G/TBT/N/GEO/132"," G/TBT/N/GEO/132")</f>
        <v xml:space="preserve"> G/TBT/N/GEO/132</v>
      </c>
      <c r="D1068" s="8" t="s">
        <v>4186</v>
      </c>
      <c r="E1068" s="8" t="s">
        <v>4187</v>
      </c>
      <c r="F1068" s="8" t="s">
        <v>2825</v>
      </c>
      <c r="G1068" s="8" t="s">
        <v>43</v>
      </c>
      <c r="H1068" s="8" t="s">
        <v>936</v>
      </c>
      <c r="I1068" s="8" t="s">
        <v>143</v>
      </c>
      <c r="J1068" s="8" t="s">
        <v>43</v>
      </c>
      <c r="K1068" s="8" t="s">
        <v>240</v>
      </c>
      <c r="L1068" s="6"/>
      <c r="M1068" s="7">
        <v>46104</v>
      </c>
      <c r="N1068" s="7" t="s">
        <v>79</v>
      </c>
      <c r="O1068" s="7" t="s">
        <v>79</v>
      </c>
      <c r="P1068" s="6" t="s">
        <v>62</v>
      </c>
      <c r="Q1068" s="6"/>
      <c r="R1068" t="str">
        <f>HYPERLINK("https://docs.wto.org/imrd/directdoc.asp?DDFDocuments/t/G/TBTN26/GEO132.docx", "https://docs.wto.org/imrd/directdoc.asp?DDFDocuments/t/G/TBTN26/GEO132.docx")</f>
        <v>https://docs.wto.org/imrd/directdoc.asp?DDFDocuments/t/G/TBTN26/GEO132.docx</v>
      </c>
      <c r="S1068" t="str">
        <f>HYPERLINK("https://docs.wto.org/imrd/directdoc.asp?DDFDocuments/u/G/TBTN26/GEO132.docx", "https://docs.wto.org/imrd/directdoc.asp?DDFDocuments/u/G/TBTN26/GEO132.docx")</f>
        <v>https://docs.wto.org/imrd/directdoc.asp?DDFDocuments/u/G/TBTN26/GEO132.docx</v>
      </c>
      <c r="T1068" t="str">
        <f>HYPERLINK("https://docs.wto.org/imrd/directdoc.asp?DDFDocuments/v/G/TBTN26/GEO132.docx", "https://docs.wto.org/imrd/directdoc.asp?DDFDocuments/v/G/TBTN26/GEO132.docx")</f>
        <v>https://docs.wto.org/imrd/directdoc.asp?DDFDocuments/v/G/TBTN26/GEO132.docx</v>
      </c>
      <c r="U1068" t="s">
        <v>64</v>
      </c>
      <c r="V1068" t="s">
        <v>46</v>
      </c>
      <c r="W1068" t="s">
        <v>46</v>
      </c>
      <c r="X1068" t="s">
        <v>46</v>
      </c>
      <c r="Y1068" t="s">
        <v>46</v>
      </c>
      <c r="Z1068" t="s">
        <v>46</v>
      </c>
      <c r="AA1068" t="s">
        <v>46</v>
      </c>
      <c r="AB1068" s="2" t="s">
        <v>4188</v>
      </c>
      <c r="AC1068" t="s">
        <v>43</v>
      </c>
      <c r="AD1068" t="s">
        <v>43</v>
      </c>
      <c r="AE1068" t="s">
        <v>43</v>
      </c>
      <c r="AF1068" t="s">
        <v>43</v>
      </c>
      <c r="AG1068" t="s">
        <v>43</v>
      </c>
      <c r="AH1068" s="2" t="s">
        <v>43</v>
      </c>
    </row>
    <row r="1069" spans="1:34" ht="60">
      <c r="A1069" s="6" t="s">
        <v>108</v>
      </c>
      <c r="B1069" s="7">
        <v>46044</v>
      </c>
      <c r="C1069" s="9" t="str">
        <f>HYPERLINK("https://eping.wto.org/en/Search?viewData= G/SPS/N/BDI/145, G/SPS/N/KEN/353, G/SPS/N/RWA/138, G/SPS/N/TZA/496, G/SPS/N/UGA/466"," G/SPS/N/BDI/145, G/SPS/N/KEN/353, G/SPS/N/RWA/138, G/SPS/N/TZA/496, G/SPS/N/UGA/466")</f>
        <v xml:space="preserve"> G/SPS/N/BDI/145, G/SPS/N/KEN/353, G/SPS/N/RWA/138, G/SPS/N/TZA/496, G/SPS/N/UGA/466</v>
      </c>
      <c r="D1069" s="8" t="s">
        <v>4154</v>
      </c>
      <c r="E1069" s="8" t="s">
        <v>4155</v>
      </c>
      <c r="F1069" s="8" t="s">
        <v>4111</v>
      </c>
      <c r="G1069" s="8" t="s">
        <v>4112</v>
      </c>
      <c r="H1069" s="8" t="s">
        <v>4113</v>
      </c>
      <c r="I1069" s="8" t="s">
        <v>58</v>
      </c>
      <c r="J1069" s="8" t="s">
        <v>43</v>
      </c>
      <c r="K1069" s="8" t="s">
        <v>157</v>
      </c>
      <c r="L1069" s="6" t="s">
        <v>43</v>
      </c>
      <c r="M1069" s="7">
        <v>46104</v>
      </c>
      <c r="N1069" s="7" t="s">
        <v>396</v>
      </c>
      <c r="O1069" s="7" t="s">
        <v>304</v>
      </c>
      <c r="P1069" s="6" t="s">
        <v>62</v>
      </c>
      <c r="Q1069" s="8" t="s">
        <v>4156</v>
      </c>
      <c r="R1069" t="str">
        <f>HYPERLINK("https://docs.wto.org/imrd/directdoc.asp?DDFDocuments/t/G/SPS/NBDI145.docx", "https://docs.wto.org/imrd/directdoc.asp?DDFDocuments/t/G/SPS/NBDI145.docx")</f>
        <v>https://docs.wto.org/imrd/directdoc.asp?DDFDocuments/t/G/SPS/NBDI145.docx</v>
      </c>
      <c r="S1069" t="str">
        <f>HYPERLINK("https://docs.wto.org/imrd/directdoc.asp?DDFDocuments/u/G/SPS/NBDI145.docx", "https://docs.wto.org/imrd/directdoc.asp?DDFDocuments/u/G/SPS/NBDI145.docx")</f>
        <v>https://docs.wto.org/imrd/directdoc.asp?DDFDocuments/u/G/SPS/NBDI145.docx</v>
      </c>
      <c r="T1069" t="str">
        <f>HYPERLINK("https://docs.wto.org/imrd/directdoc.asp?DDFDocuments/v/G/SPS/NBDI145.docx", "https://docs.wto.org/imrd/directdoc.asp?DDFDocuments/v/G/SPS/NBDI145.docx")</f>
        <v>https://docs.wto.org/imrd/directdoc.asp?DDFDocuments/v/G/SPS/NBDI145.docx</v>
      </c>
      <c r="U1069" t="s">
        <v>43</v>
      </c>
      <c r="V1069" t="s">
        <v>43</v>
      </c>
      <c r="W1069" t="s">
        <v>43</v>
      </c>
      <c r="X1069" t="s">
        <v>43</v>
      </c>
      <c r="Y1069" t="s">
        <v>43</v>
      </c>
      <c r="Z1069" t="s">
        <v>43</v>
      </c>
      <c r="AA1069" t="s">
        <v>43</v>
      </c>
      <c r="AB1069" s="2" t="s">
        <v>43</v>
      </c>
      <c r="AC1069" t="s">
        <v>46</v>
      </c>
      <c r="AD1069" t="s">
        <v>46</v>
      </c>
      <c r="AE1069" t="s">
        <v>46</v>
      </c>
      <c r="AF1069" t="s">
        <v>64</v>
      </c>
      <c r="AG1069" t="s">
        <v>99</v>
      </c>
      <c r="AH1069" s="2" t="s">
        <v>43</v>
      </c>
    </row>
    <row r="1070" spans="1:34" ht="375">
      <c r="A1070" s="6" t="s">
        <v>124</v>
      </c>
      <c r="B1070" s="7">
        <v>46044</v>
      </c>
      <c r="C1070" s="9" t="str">
        <f>HYPERLINK("https://eping.wto.org/en/Search?viewData= G/TBT/N/BDI/712, G/TBT/N/KEN/1980, G/TBT/N/RWA/1342, G/TBT/N/TZA/1495, G/TBT/N/UGA/2311"," G/TBT/N/BDI/712, G/TBT/N/KEN/1980, G/TBT/N/RWA/1342, G/TBT/N/TZA/1495, G/TBT/N/UGA/2311")</f>
        <v xml:space="preserve"> G/TBT/N/BDI/712, G/TBT/N/KEN/1980, G/TBT/N/RWA/1342, G/TBT/N/TZA/1495, G/TBT/N/UGA/2311</v>
      </c>
      <c r="D1070" s="8" t="s">
        <v>4109</v>
      </c>
      <c r="E1070" s="8" t="s">
        <v>4110</v>
      </c>
      <c r="F1070" s="8" t="s">
        <v>4111</v>
      </c>
      <c r="G1070" s="8" t="s">
        <v>4112</v>
      </c>
      <c r="H1070" s="8" t="s">
        <v>4113</v>
      </c>
      <c r="I1070" s="8" t="s">
        <v>684</v>
      </c>
      <c r="J1070" s="8" t="s">
        <v>43</v>
      </c>
      <c r="K1070" s="8" t="s">
        <v>240</v>
      </c>
      <c r="L1070" s="6"/>
      <c r="M1070" s="7">
        <v>46104</v>
      </c>
      <c r="N1070" s="7" t="s">
        <v>79</v>
      </c>
      <c r="O1070" s="7" t="s">
        <v>79</v>
      </c>
      <c r="P1070" s="6" t="s">
        <v>62</v>
      </c>
      <c r="Q1070" s="8" t="s">
        <v>4114</v>
      </c>
      <c r="R1070" t="str">
        <f>HYPERLINK("https://docs.wto.org/imrd/directdoc.asp?DDFDocuments/t/G/TBTN26/BDI712.docx", "https://docs.wto.org/imrd/directdoc.asp?DDFDocuments/t/G/TBTN26/BDI712.docx")</f>
        <v>https://docs.wto.org/imrd/directdoc.asp?DDFDocuments/t/G/TBTN26/BDI712.docx</v>
      </c>
      <c r="S1070" t="str">
        <f>HYPERLINK("https://docs.wto.org/imrd/directdoc.asp?DDFDocuments/u/G/TBTN26/BDI712.docx", "https://docs.wto.org/imrd/directdoc.asp?DDFDocuments/u/G/TBTN26/BDI712.docx")</f>
        <v>https://docs.wto.org/imrd/directdoc.asp?DDFDocuments/u/G/TBTN26/BDI712.docx</v>
      </c>
      <c r="T1070" t="str">
        <f>HYPERLINK("https://docs.wto.org/imrd/directdoc.asp?DDFDocuments/v/G/TBTN26/BDI712.docx", "https://docs.wto.org/imrd/directdoc.asp?DDFDocuments/v/G/TBTN26/BDI712.docx")</f>
        <v>https://docs.wto.org/imrd/directdoc.asp?DDFDocuments/v/G/TBTN26/BDI712.docx</v>
      </c>
      <c r="U1070" t="s">
        <v>64</v>
      </c>
      <c r="V1070" t="s">
        <v>46</v>
      </c>
      <c r="W1070" t="s">
        <v>46</v>
      </c>
      <c r="X1070" t="s">
        <v>46</v>
      </c>
      <c r="Y1070" t="s">
        <v>46</v>
      </c>
      <c r="Z1070" t="s">
        <v>46</v>
      </c>
      <c r="AA1070" t="s">
        <v>46</v>
      </c>
      <c r="AB1070" s="2" t="s">
        <v>4115</v>
      </c>
      <c r="AC1070" t="s">
        <v>43</v>
      </c>
      <c r="AD1070" t="s">
        <v>43</v>
      </c>
      <c r="AE1070" t="s">
        <v>43</v>
      </c>
      <c r="AF1070" t="s">
        <v>43</v>
      </c>
      <c r="AG1070" t="s">
        <v>43</v>
      </c>
      <c r="AH1070" s="2" t="s">
        <v>43</v>
      </c>
    </row>
    <row r="1071" spans="1:34" ht="375">
      <c r="A1071" s="6" t="s">
        <v>509</v>
      </c>
      <c r="B1071" s="7">
        <v>46044</v>
      </c>
      <c r="C1071" s="9" t="str">
        <f>HYPERLINK("https://eping.wto.org/en/Search?viewData= G/TBT/N/BDI/712, G/TBT/N/KEN/1980, G/TBT/N/RWA/1342, G/TBT/N/TZA/1495, G/TBT/N/UGA/2311"," G/TBT/N/BDI/712, G/TBT/N/KEN/1980, G/TBT/N/RWA/1342, G/TBT/N/TZA/1495, G/TBT/N/UGA/2311")</f>
        <v xml:space="preserve"> G/TBT/N/BDI/712, G/TBT/N/KEN/1980, G/TBT/N/RWA/1342, G/TBT/N/TZA/1495, G/TBT/N/UGA/2311</v>
      </c>
      <c r="D1071" s="8" t="s">
        <v>4109</v>
      </c>
      <c r="E1071" s="8" t="s">
        <v>4110</v>
      </c>
      <c r="F1071" s="8" t="s">
        <v>4111</v>
      </c>
      <c r="G1071" s="8" t="s">
        <v>4112</v>
      </c>
      <c r="H1071" s="8" t="s">
        <v>4113</v>
      </c>
      <c r="I1071" s="8" t="s">
        <v>684</v>
      </c>
      <c r="J1071" s="8" t="s">
        <v>43</v>
      </c>
      <c r="K1071" s="8" t="s">
        <v>240</v>
      </c>
      <c r="L1071" s="6"/>
      <c r="M1071" s="7">
        <v>46104</v>
      </c>
      <c r="N1071" s="7" t="s">
        <v>79</v>
      </c>
      <c r="O1071" s="7" t="s">
        <v>79</v>
      </c>
      <c r="P1071" s="6" t="s">
        <v>62</v>
      </c>
      <c r="Q1071" s="8" t="s">
        <v>4114</v>
      </c>
      <c r="R1071" t="str">
        <f>HYPERLINK("https://docs.wto.org/imrd/directdoc.asp?DDFDocuments/t/G/TBTN26/BDI712.docx", "https://docs.wto.org/imrd/directdoc.asp?DDFDocuments/t/G/TBTN26/BDI712.docx")</f>
        <v>https://docs.wto.org/imrd/directdoc.asp?DDFDocuments/t/G/TBTN26/BDI712.docx</v>
      </c>
      <c r="S1071" t="str">
        <f>HYPERLINK("https://docs.wto.org/imrd/directdoc.asp?DDFDocuments/u/G/TBTN26/BDI712.docx", "https://docs.wto.org/imrd/directdoc.asp?DDFDocuments/u/G/TBTN26/BDI712.docx")</f>
        <v>https://docs.wto.org/imrd/directdoc.asp?DDFDocuments/u/G/TBTN26/BDI712.docx</v>
      </c>
      <c r="T1071" t="str">
        <f>HYPERLINK("https://docs.wto.org/imrd/directdoc.asp?DDFDocuments/v/G/TBTN26/BDI712.docx", "https://docs.wto.org/imrd/directdoc.asp?DDFDocuments/v/G/TBTN26/BDI712.docx")</f>
        <v>https://docs.wto.org/imrd/directdoc.asp?DDFDocuments/v/G/TBTN26/BDI712.docx</v>
      </c>
      <c r="U1071" t="s">
        <v>64</v>
      </c>
      <c r="V1071" t="s">
        <v>46</v>
      </c>
      <c r="W1071" t="s">
        <v>46</v>
      </c>
      <c r="X1071" t="s">
        <v>46</v>
      </c>
      <c r="Y1071" t="s">
        <v>46</v>
      </c>
      <c r="Z1071" t="s">
        <v>46</v>
      </c>
      <c r="AA1071" t="s">
        <v>46</v>
      </c>
      <c r="AB1071" s="2" t="s">
        <v>4115</v>
      </c>
      <c r="AC1071" t="s">
        <v>43</v>
      </c>
      <c r="AD1071" t="s">
        <v>43</v>
      </c>
      <c r="AE1071" t="s">
        <v>43</v>
      </c>
      <c r="AF1071" t="s">
        <v>43</v>
      </c>
      <c r="AG1071" t="s">
        <v>43</v>
      </c>
      <c r="AH1071" s="2" t="s">
        <v>43</v>
      </c>
    </row>
    <row r="1072" spans="1:34" ht="195">
      <c r="A1072" s="6" t="s">
        <v>390</v>
      </c>
      <c r="B1072" s="7">
        <v>46044</v>
      </c>
      <c r="C1072" s="9" t="str">
        <f>HYPERLINK("https://eping.wto.org/en/Search?viewData= G/TBT/N/TZA/1497"," G/TBT/N/TZA/1497")</f>
        <v xml:space="preserve"> G/TBT/N/TZA/1497</v>
      </c>
      <c r="D1072" s="8" t="s">
        <v>4189</v>
      </c>
      <c r="E1072" s="8" t="s">
        <v>4190</v>
      </c>
      <c r="F1072" s="8" t="s">
        <v>4191</v>
      </c>
      <c r="G1072" s="8" t="s">
        <v>4192</v>
      </c>
      <c r="H1072" s="8" t="s">
        <v>274</v>
      </c>
      <c r="I1072" s="8" t="s">
        <v>684</v>
      </c>
      <c r="J1072" s="8" t="s">
        <v>43</v>
      </c>
      <c r="K1072" s="8" t="s">
        <v>240</v>
      </c>
      <c r="L1072" s="6"/>
      <c r="M1072" s="7">
        <v>46104</v>
      </c>
      <c r="N1072" s="7" t="s">
        <v>79</v>
      </c>
      <c r="O1072" s="7" t="s">
        <v>79</v>
      </c>
      <c r="P1072" s="6" t="s">
        <v>62</v>
      </c>
      <c r="Q1072" s="8" t="s">
        <v>4193</v>
      </c>
      <c r="R1072" t="str">
        <f>HYPERLINK("https://docs.wto.org/imrd/directdoc.asp?DDFDocuments/t/G/TBTN26/TZA1497.docx", "https://docs.wto.org/imrd/directdoc.asp?DDFDocuments/t/G/TBTN26/TZA1497.docx")</f>
        <v>https://docs.wto.org/imrd/directdoc.asp?DDFDocuments/t/G/TBTN26/TZA1497.docx</v>
      </c>
      <c r="S1072" t="str">
        <f>HYPERLINK("https://docs.wto.org/imrd/directdoc.asp?DDFDocuments/u/G/TBTN26/TZA1497.docx", "https://docs.wto.org/imrd/directdoc.asp?DDFDocuments/u/G/TBTN26/TZA1497.docx")</f>
        <v>https://docs.wto.org/imrd/directdoc.asp?DDFDocuments/u/G/TBTN26/TZA1497.docx</v>
      </c>
      <c r="T1072" t="str">
        <f>HYPERLINK("https://docs.wto.org/imrd/directdoc.asp?DDFDocuments/v/G/TBTN26/TZA1497.docx", "https://docs.wto.org/imrd/directdoc.asp?DDFDocuments/v/G/TBTN26/TZA1497.docx")</f>
        <v>https://docs.wto.org/imrd/directdoc.asp?DDFDocuments/v/G/TBTN26/TZA1497.docx</v>
      </c>
      <c r="U1072" t="s">
        <v>64</v>
      </c>
      <c r="V1072" t="s">
        <v>46</v>
      </c>
      <c r="W1072" t="s">
        <v>46</v>
      </c>
      <c r="X1072" t="s">
        <v>46</v>
      </c>
      <c r="Y1072" t="s">
        <v>46</v>
      </c>
      <c r="Z1072" t="s">
        <v>46</v>
      </c>
      <c r="AA1072" t="s">
        <v>46</v>
      </c>
      <c r="AB1072" s="2" t="s">
        <v>4194</v>
      </c>
      <c r="AC1072" t="s">
        <v>43</v>
      </c>
      <c r="AD1072" t="s">
        <v>43</v>
      </c>
      <c r="AE1072" t="s">
        <v>43</v>
      </c>
      <c r="AF1072" t="s">
        <v>43</v>
      </c>
      <c r="AG1072" t="s">
        <v>43</v>
      </c>
      <c r="AH1072" s="2" t="s">
        <v>43</v>
      </c>
    </row>
    <row r="1073" spans="1:34" ht="45">
      <c r="A1073" s="6" t="s">
        <v>289</v>
      </c>
      <c r="B1073" s="7">
        <v>46044</v>
      </c>
      <c r="C1073" s="9" t="str">
        <f>HYPERLINK("https://eping.wto.org/en/Search?viewData= G/SPS/N/BRA/2464"," G/SPS/N/BRA/2464")</f>
        <v xml:space="preserve"> G/SPS/N/BRA/2464</v>
      </c>
      <c r="D1073" s="8" t="s">
        <v>4195</v>
      </c>
      <c r="E1073" s="8" t="s">
        <v>4196</v>
      </c>
      <c r="F1073" s="8" t="s">
        <v>4197</v>
      </c>
      <c r="G1073" s="8" t="s">
        <v>43</v>
      </c>
      <c r="H1073" s="8" t="s">
        <v>43</v>
      </c>
      <c r="I1073" s="8" t="s">
        <v>1090</v>
      </c>
      <c r="J1073" s="8" t="s">
        <v>43</v>
      </c>
      <c r="K1073" s="8" t="s">
        <v>4198</v>
      </c>
      <c r="L1073" s="6" t="s">
        <v>43</v>
      </c>
      <c r="M1073" s="7">
        <v>46104</v>
      </c>
      <c r="N1073" s="7">
        <v>45967</v>
      </c>
      <c r="O1073" s="7">
        <v>45967</v>
      </c>
      <c r="P1073" s="6" t="s">
        <v>62</v>
      </c>
      <c r="Q1073" s="8" t="s">
        <v>4199</v>
      </c>
      <c r="R1073" t="str">
        <f>HYPERLINK("https://docs.wto.org/imrd/directdoc.asp?DDFDocuments/t/G/SPS/NBRA2464.docx", "https://docs.wto.org/imrd/directdoc.asp?DDFDocuments/t/G/SPS/NBRA2464.docx")</f>
        <v>https://docs.wto.org/imrd/directdoc.asp?DDFDocuments/t/G/SPS/NBRA2464.docx</v>
      </c>
      <c r="S1073" t="str">
        <f>HYPERLINK("https://docs.wto.org/imrd/directdoc.asp?DDFDocuments/u/G/SPS/NBRA2464.docx", "https://docs.wto.org/imrd/directdoc.asp?DDFDocuments/u/G/SPS/NBRA2464.docx")</f>
        <v>https://docs.wto.org/imrd/directdoc.asp?DDFDocuments/u/G/SPS/NBRA2464.docx</v>
      </c>
      <c r="T1073" t="str">
        <f>HYPERLINK("https://docs.wto.org/imrd/directdoc.asp?DDFDocuments/v/G/SPS/NBRA2464.docx", "https://docs.wto.org/imrd/directdoc.asp?DDFDocuments/v/G/SPS/NBRA2464.docx")</f>
        <v>https://docs.wto.org/imrd/directdoc.asp?DDFDocuments/v/G/SPS/NBRA2464.docx</v>
      </c>
      <c r="U1073" t="s">
        <v>43</v>
      </c>
      <c r="V1073" t="s">
        <v>43</v>
      </c>
      <c r="W1073" t="s">
        <v>43</v>
      </c>
      <c r="X1073" t="s">
        <v>43</v>
      </c>
      <c r="Y1073" t="s">
        <v>43</v>
      </c>
      <c r="Z1073" t="s">
        <v>43</v>
      </c>
      <c r="AA1073" t="s">
        <v>43</v>
      </c>
      <c r="AB1073" s="2" t="s">
        <v>43</v>
      </c>
      <c r="AC1073" t="s">
        <v>64</v>
      </c>
      <c r="AD1073" t="s">
        <v>64</v>
      </c>
      <c r="AE1073" t="s">
        <v>46</v>
      </c>
      <c r="AF1073" t="s">
        <v>46</v>
      </c>
      <c r="AG1073" t="s">
        <v>64</v>
      </c>
      <c r="AH1073" s="2" t="s">
        <v>43</v>
      </c>
    </row>
    <row r="1074" spans="1:34" ht="225">
      <c r="A1074" s="6" t="s">
        <v>132</v>
      </c>
      <c r="B1074" s="7">
        <v>46043</v>
      </c>
      <c r="C1074" s="9" t="str">
        <f>HYPERLINK("https://eping.wto.org/en/Search?viewData= G/SPS/N/USA/3545"," G/SPS/N/USA/3545")</f>
        <v xml:space="preserve"> G/SPS/N/USA/3545</v>
      </c>
      <c r="D1074" s="8" t="s">
        <v>4200</v>
      </c>
      <c r="E1074" s="8" t="s">
        <v>4201</v>
      </c>
      <c r="F1074" s="8" t="s">
        <v>4202</v>
      </c>
      <c r="G1074" s="8" t="s">
        <v>43</v>
      </c>
      <c r="H1074" s="8" t="s">
        <v>43</v>
      </c>
      <c r="I1074" s="8" t="s">
        <v>58</v>
      </c>
      <c r="J1074" s="8" t="s">
        <v>43</v>
      </c>
      <c r="K1074" s="8" t="s">
        <v>3228</v>
      </c>
      <c r="L1074" s="6"/>
      <c r="M1074" s="7" t="s">
        <v>43</v>
      </c>
      <c r="N1074" s="7">
        <v>46036</v>
      </c>
      <c r="O1074" s="7">
        <v>46036</v>
      </c>
      <c r="P1074" s="6" t="s">
        <v>62</v>
      </c>
      <c r="Q1074" s="8" t="s">
        <v>4203</v>
      </c>
      <c r="R1074" t="str">
        <f>HYPERLINK("https://docs.wto.org/imrd/directdoc.asp?DDFDocuments/t/G/SPS/NUSA3545.docx", "https://docs.wto.org/imrd/directdoc.asp?DDFDocuments/t/G/SPS/NUSA3545.docx")</f>
        <v>https://docs.wto.org/imrd/directdoc.asp?DDFDocuments/t/G/SPS/NUSA3545.docx</v>
      </c>
      <c r="S1074" t="str">
        <f>HYPERLINK("https://docs.wto.org/imrd/directdoc.asp?DDFDocuments/u/G/SPS/NUSA3545.docx", "https://docs.wto.org/imrd/directdoc.asp?DDFDocuments/u/G/SPS/NUSA3545.docx")</f>
        <v>https://docs.wto.org/imrd/directdoc.asp?DDFDocuments/u/G/SPS/NUSA3545.docx</v>
      </c>
      <c r="T1074" t="str">
        <f>HYPERLINK("https://docs.wto.org/imrd/directdoc.asp?DDFDocuments/v/G/SPS/NUSA3545.docx", "https://docs.wto.org/imrd/directdoc.asp?DDFDocuments/v/G/SPS/NUSA3545.docx")</f>
        <v>https://docs.wto.org/imrd/directdoc.asp?DDFDocuments/v/G/SPS/NUSA3545.docx</v>
      </c>
      <c r="U1074" t="s">
        <v>43</v>
      </c>
      <c r="V1074" t="s">
        <v>43</v>
      </c>
      <c r="W1074" t="s">
        <v>43</v>
      </c>
      <c r="X1074" t="s">
        <v>43</v>
      </c>
      <c r="Y1074" t="s">
        <v>43</v>
      </c>
      <c r="Z1074" t="s">
        <v>43</v>
      </c>
      <c r="AA1074" t="s">
        <v>43</v>
      </c>
      <c r="AB1074" s="2" t="s">
        <v>43</v>
      </c>
      <c r="AC1074" t="s">
        <v>64</v>
      </c>
      <c r="AD1074" t="s">
        <v>46</v>
      </c>
      <c r="AE1074" t="s">
        <v>46</v>
      </c>
      <c r="AF1074" t="s">
        <v>46</v>
      </c>
      <c r="AG1074" t="s">
        <v>46</v>
      </c>
      <c r="AH1074" s="2" t="s">
        <v>4204</v>
      </c>
    </row>
    <row r="1075" spans="1:34" ht="180">
      <c r="A1075" s="6" t="s">
        <v>132</v>
      </c>
      <c r="B1075" s="7">
        <v>46043</v>
      </c>
      <c r="C1075" s="9" t="str">
        <f>HYPERLINK("https://eping.wto.org/en/Search?viewData= G/TBT/N/USA/2161/Add.1/Corr.1"," G/TBT/N/USA/2161/Add.1/Corr.1")</f>
        <v xml:space="preserve"> G/TBT/N/USA/2161/Add.1/Corr.1</v>
      </c>
      <c r="D1075" s="8" t="s">
        <v>4205</v>
      </c>
      <c r="E1075" s="8" t="s">
        <v>4206</v>
      </c>
      <c r="F1075" s="8" t="s">
        <v>4207</v>
      </c>
      <c r="G1075" s="8" t="s">
        <v>43</v>
      </c>
      <c r="H1075" s="8" t="s">
        <v>4208</v>
      </c>
      <c r="I1075" s="8" t="s">
        <v>1528</v>
      </c>
      <c r="J1075" s="8" t="s">
        <v>43</v>
      </c>
      <c r="K1075" s="8" t="s">
        <v>43</v>
      </c>
      <c r="L1075" s="6"/>
      <c r="M1075" s="7" t="s">
        <v>43</v>
      </c>
      <c r="N1075" s="7"/>
      <c r="O1075" s="7"/>
      <c r="P1075" s="6" t="s">
        <v>296</v>
      </c>
      <c r="Q1075" s="8" t="s">
        <v>4209</v>
      </c>
      <c r="R1075" t="str">
        <f>HYPERLINK("https://docs.wto.org/imrd/directdoc.asp?DDFDocuments/t/G/TBTN24/USA2161A1C1.docx", "https://docs.wto.org/imrd/directdoc.asp?DDFDocuments/t/G/TBTN24/USA2161A1C1.docx")</f>
        <v>https://docs.wto.org/imrd/directdoc.asp?DDFDocuments/t/G/TBTN24/USA2161A1C1.docx</v>
      </c>
      <c r="S1075" t="str">
        <f>HYPERLINK("https://docs.wto.org/imrd/directdoc.asp?DDFDocuments/u/G/TBTN24/USA2161A1C1.docx", "https://docs.wto.org/imrd/directdoc.asp?DDFDocuments/u/G/TBTN24/USA2161A1C1.docx")</f>
        <v>https://docs.wto.org/imrd/directdoc.asp?DDFDocuments/u/G/TBTN24/USA2161A1C1.docx</v>
      </c>
      <c r="T1075" t="str">
        <f>HYPERLINK("https://docs.wto.org/imrd/directdoc.asp?DDFDocuments/v/G/TBTN24/USA2161A1C1.docx", "https://docs.wto.org/imrd/directdoc.asp?DDFDocuments/v/G/TBTN24/USA2161A1C1.docx")</f>
        <v>https://docs.wto.org/imrd/directdoc.asp?DDFDocuments/v/G/TBTN24/USA2161A1C1.docx</v>
      </c>
      <c r="U1075" t="s">
        <v>64</v>
      </c>
      <c r="V1075" t="s">
        <v>46</v>
      </c>
      <c r="W1075" t="s">
        <v>64</v>
      </c>
      <c r="X1075" t="s">
        <v>46</v>
      </c>
      <c r="Y1075" t="s">
        <v>46</v>
      </c>
      <c r="Z1075" t="s">
        <v>46</v>
      </c>
      <c r="AA1075" t="s">
        <v>46</v>
      </c>
      <c r="AB1075" s="2" t="s">
        <v>43</v>
      </c>
      <c r="AC1075" t="s">
        <v>43</v>
      </c>
      <c r="AD1075" t="s">
        <v>43</v>
      </c>
      <c r="AE1075" t="s">
        <v>43</v>
      </c>
      <c r="AF1075" t="s">
        <v>43</v>
      </c>
      <c r="AG1075" t="s">
        <v>43</v>
      </c>
      <c r="AH1075" s="2" t="s">
        <v>43</v>
      </c>
    </row>
    <row r="1076" spans="1:34" ht="409.5">
      <c r="A1076" s="6" t="s">
        <v>132</v>
      </c>
      <c r="B1076" s="7">
        <v>46043</v>
      </c>
      <c r="C1076" s="9" t="str">
        <f>HYPERLINK("https://eping.wto.org/en/Search?viewData= G/TBT/N/USA/2120/Add.2"," G/TBT/N/USA/2120/Add.2")</f>
        <v xml:space="preserve"> G/TBT/N/USA/2120/Add.2</v>
      </c>
      <c r="D1076" s="8" t="s">
        <v>4210</v>
      </c>
      <c r="E1076" s="8" t="s">
        <v>4211</v>
      </c>
      <c r="F1076" s="8" t="s">
        <v>4212</v>
      </c>
      <c r="G1076" s="8" t="s">
        <v>43</v>
      </c>
      <c r="H1076" s="8" t="s">
        <v>4213</v>
      </c>
      <c r="I1076" s="8" t="s">
        <v>413</v>
      </c>
      <c r="J1076" s="8" t="s">
        <v>43</v>
      </c>
      <c r="K1076" s="8" t="s">
        <v>860</v>
      </c>
      <c r="L1076" s="6"/>
      <c r="M1076" s="7" t="s">
        <v>43</v>
      </c>
      <c r="N1076" s="7"/>
      <c r="O1076" s="7"/>
      <c r="P1076" s="6" t="s">
        <v>44</v>
      </c>
      <c r="Q1076" s="8" t="s">
        <v>4214</v>
      </c>
      <c r="R1076" t="str">
        <f>HYPERLINK("https://docs.wto.org/imrd/directdoc.asp?DDFDocuments/t/G/TBTN24/USA2120A2.docx", "https://docs.wto.org/imrd/directdoc.asp?DDFDocuments/t/G/TBTN24/USA2120A2.docx")</f>
        <v>https://docs.wto.org/imrd/directdoc.asp?DDFDocuments/t/G/TBTN24/USA2120A2.docx</v>
      </c>
      <c r="S1076" t="str">
        <f>HYPERLINK("https://docs.wto.org/imrd/directdoc.asp?DDFDocuments/u/G/TBTN24/USA2120A2.docx", "https://docs.wto.org/imrd/directdoc.asp?DDFDocuments/u/G/TBTN24/USA2120A2.docx")</f>
        <v>https://docs.wto.org/imrd/directdoc.asp?DDFDocuments/u/G/TBTN24/USA2120A2.docx</v>
      </c>
      <c r="T1076" t="str">
        <f>HYPERLINK("https://docs.wto.org/imrd/directdoc.asp?DDFDocuments/v/G/TBTN24/USA2120A2.docx", "https://docs.wto.org/imrd/directdoc.asp?DDFDocuments/v/G/TBTN24/USA2120A2.docx")</f>
        <v>https://docs.wto.org/imrd/directdoc.asp?DDFDocuments/v/G/TBTN24/USA2120A2.docx</v>
      </c>
      <c r="U1076" t="s">
        <v>64</v>
      </c>
      <c r="V1076" t="s">
        <v>46</v>
      </c>
      <c r="W1076" t="s">
        <v>46</v>
      </c>
      <c r="X1076" t="s">
        <v>46</v>
      </c>
      <c r="Y1076" t="s">
        <v>46</v>
      </c>
      <c r="Z1076" t="s">
        <v>46</v>
      </c>
      <c r="AA1076" t="s">
        <v>46</v>
      </c>
      <c r="AB1076" s="2" t="s">
        <v>43</v>
      </c>
      <c r="AC1076" t="s">
        <v>43</v>
      </c>
      <c r="AD1076" t="s">
        <v>43</v>
      </c>
      <c r="AE1076" t="s">
        <v>43</v>
      </c>
      <c r="AF1076" t="s">
        <v>43</v>
      </c>
      <c r="AG1076" t="s">
        <v>43</v>
      </c>
      <c r="AH1076" s="2" t="s">
        <v>43</v>
      </c>
    </row>
    <row r="1077" spans="1:34" ht="120">
      <c r="A1077" s="6" t="s">
        <v>146</v>
      </c>
      <c r="B1077" s="7">
        <v>46043</v>
      </c>
      <c r="C1077" s="9" t="str">
        <f>HYPERLINK("https://eping.wto.org/en/Search?viewData= G/SPS/N/CHL/856/Add.1"," G/SPS/N/CHL/856/Add.1")</f>
        <v xml:space="preserve"> G/SPS/N/CHL/856/Add.1</v>
      </c>
      <c r="D1077" s="8" t="s">
        <v>4215</v>
      </c>
      <c r="E1077" s="8" t="s">
        <v>4215</v>
      </c>
      <c r="F1077" s="8" t="s">
        <v>4216</v>
      </c>
      <c r="G1077" s="8" t="s">
        <v>4217</v>
      </c>
      <c r="H1077" s="8" t="s">
        <v>43</v>
      </c>
      <c r="I1077" s="8" t="s">
        <v>254</v>
      </c>
      <c r="J1077" s="8" t="s">
        <v>43</v>
      </c>
      <c r="K1077" s="8" t="s">
        <v>4218</v>
      </c>
      <c r="L1077" s="6"/>
      <c r="M1077" s="7" t="s">
        <v>43</v>
      </c>
      <c r="N1077" s="7"/>
      <c r="O1077" s="7"/>
      <c r="P1077" s="6" t="s">
        <v>44</v>
      </c>
      <c r="Q1077" s="8" t="s">
        <v>4219</v>
      </c>
      <c r="R1077" t="str">
        <f>HYPERLINK("https://docs.wto.org/imrd/directdoc.asp?DDFDocuments/t/G/SPS/NCHL856A1.docx", "https://docs.wto.org/imrd/directdoc.asp?DDFDocuments/t/G/SPS/NCHL856A1.docx")</f>
        <v>https://docs.wto.org/imrd/directdoc.asp?DDFDocuments/t/G/SPS/NCHL856A1.docx</v>
      </c>
      <c r="S1077" t="str">
        <f>HYPERLINK("https://docs.wto.org/imrd/directdoc.asp?DDFDocuments/u/G/SPS/NCHL856A1.docx", "https://docs.wto.org/imrd/directdoc.asp?DDFDocuments/u/G/SPS/NCHL856A1.docx")</f>
        <v>https://docs.wto.org/imrd/directdoc.asp?DDFDocuments/u/G/SPS/NCHL856A1.docx</v>
      </c>
      <c r="T1077" t="str">
        <f>HYPERLINK("https://docs.wto.org/imrd/directdoc.asp?DDFDocuments/v/G/SPS/NCHL856A1.docx", "https://docs.wto.org/imrd/directdoc.asp?DDFDocuments/v/G/SPS/NCHL856A1.docx")</f>
        <v>https://docs.wto.org/imrd/directdoc.asp?DDFDocuments/v/G/SPS/NCHL856A1.docx</v>
      </c>
      <c r="U1077" t="s">
        <v>43</v>
      </c>
      <c r="V1077" t="s">
        <v>43</v>
      </c>
      <c r="W1077" t="s">
        <v>43</v>
      </c>
      <c r="X1077" t="s">
        <v>43</v>
      </c>
      <c r="Y1077" t="s">
        <v>43</v>
      </c>
      <c r="Z1077" t="s">
        <v>43</v>
      </c>
      <c r="AA1077" t="s">
        <v>43</v>
      </c>
      <c r="AB1077" s="2" t="s">
        <v>43</v>
      </c>
      <c r="AC1077" t="s">
        <v>43</v>
      </c>
      <c r="AD1077" t="s">
        <v>43</v>
      </c>
      <c r="AE1077" t="s">
        <v>43</v>
      </c>
      <c r="AF1077" t="s">
        <v>43</v>
      </c>
      <c r="AG1077" t="s">
        <v>43</v>
      </c>
      <c r="AH1077" s="2" t="s">
        <v>43</v>
      </c>
    </row>
    <row r="1078" spans="1:34" ht="150">
      <c r="A1078" s="6" t="s">
        <v>89</v>
      </c>
      <c r="B1078" s="7">
        <v>46043</v>
      </c>
      <c r="C1078" s="9" t="str">
        <f>HYPERLINK("https://eping.wto.org/en/Search?viewData= G/TBT/N/CRI/189/Add.41"," G/TBT/N/CRI/189/Add.41")</f>
        <v xml:space="preserve"> G/TBT/N/CRI/189/Add.41</v>
      </c>
      <c r="D1078" s="8" t="s">
        <v>4220</v>
      </c>
      <c r="E1078" s="8" t="s">
        <v>4221</v>
      </c>
      <c r="F1078" s="8" t="s">
        <v>4222</v>
      </c>
      <c r="G1078" s="8" t="s">
        <v>406</v>
      </c>
      <c r="H1078" s="8" t="s">
        <v>407</v>
      </c>
      <c r="I1078" s="8" t="s">
        <v>1114</v>
      </c>
      <c r="J1078" s="8" t="s">
        <v>43</v>
      </c>
      <c r="K1078" s="8" t="s">
        <v>43</v>
      </c>
      <c r="L1078" s="6"/>
      <c r="M1078" s="7" t="s">
        <v>43</v>
      </c>
      <c r="N1078" s="7"/>
      <c r="O1078" s="7"/>
      <c r="P1078" s="6" t="s">
        <v>44</v>
      </c>
      <c r="Q1078" s="8" t="s">
        <v>4223</v>
      </c>
      <c r="R1078" t="str">
        <f>HYPERLINK("https://docs.wto.org/imrd/directdoc.asp?DDFDocuments/t/G/TBTN20/CRI189A41.docx", "https://docs.wto.org/imrd/directdoc.asp?DDFDocuments/t/G/TBTN20/CRI189A41.docx")</f>
        <v>https://docs.wto.org/imrd/directdoc.asp?DDFDocuments/t/G/TBTN20/CRI189A41.docx</v>
      </c>
      <c r="S1078" t="str">
        <f>HYPERLINK("https://docs.wto.org/imrd/directdoc.asp?DDFDocuments/u/G/TBTN20/CRI189A41.docx", "https://docs.wto.org/imrd/directdoc.asp?DDFDocuments/u/G/TBTN20/CRI189A41.docx")</f>
        <v>https://docs.wto.org/imrd/directdoc.asp?DDFDocuments/u/G/TBTN20/CRI189A41.docx</v>
      </c>
      <c r="T1078" t="str">
        <f>HYPERLINK("https://docs.wto.org/imrd/directdoc.asp?DDFDocuments/v/G/TBTN20/CRI189A41.docx", "https://docs.wto.org/imrd/directdoc.asp?DDFDocuments/v/G/TBTN20/CRI189A41.docx")</f>
        <v>https://docs.wto.org/imrd/directdoc.asp?DDFDocuments/v/G/TBTN20/CRI189A41.docx</v>
      </c>
      <c r="U1078" t="s">
        <v>64</v>
      </c>
      <c r="V1078" t="s">
        <v>46</v>
      </c>
      <c r="W1078" t="s">
        <v>46</v>
      </c>
      <c r="X1078" t="s">
        <v>46</v>
      </c>
      <c r="Y1078" t="s">
        <v>46</v>
      </c>
      <c r="Z1078" t="s">
        <v>46</v>
      </c>
      <c r="AA1078" t="s">
        <v>46</v>
      </c>
      <c r="AB1078" s="2" t="s">
        <v>43</v>
      </c>
      <c r="AC1078" t="s">
        <v>43</v>
      </c>
      <c r="AD1078" t="s">
        <v>43</v>
      </c>
      <c r="AE1078" t="s">
        <v>43</v>
      </c>
      <c r="AF1078" t="s">
        <v>43</v>
      </c>
      <c r="AG1078" t="s">
        <v>43</v>
      </c>
      <c r="AH1078" s="2" t="s">
        <v>43</v>
      </c>
    </row>
    <row r="1079" spans="1:34" ht="60">
      <c r="A1079" s="6" t="s">
        <v>209</v>
      </c>
      <c r="B1079" s="7">
        <v>46043</v>
      </c>
      <c r="C1079" s="9" t="str">
        <f>HYPERLINK("https://eping.wto.org/en/Search?viewData= G/TBT/N/RUS/182"," G/TBT/N/RUS/182")</f>
        <v xml:space="preserve"> G/TBT/N/RUS/182</v>
      </c>
      <c r="D1079" s="8" t="s">
        <v>4224</v>
      </c>
      <c r="E1079" s="8" t="s">
        <v>4225</v>
      </c>
      <c r="F1079" s="8" t="s">
        <v>2693</v>
      </c>
      <c r="G1079" s="8" t="s">
        <v>43</v>
      </c>
      <c r="H1079" s="8" t="s">
        <v>43</v>
      </c>
      <c r="I1079" s="8" t="s">
        <v>275</v>
      </c>
      <c r="J1079" s="8" t="s">
        <v>43</v>
      </c>
      <c r="K1079" s="8" t="s">
        <v>350</v>
      </c>
      <c r="L1079" s="6"/>
      <c r="M1079" s="7">
        <v>46103</v>
      </c>
      <c r="N1079" s="7" t="s">
        <v>79</v>
      </c>
      <c r="O1079" s="7" t="s">
        <v>79</v>
      </c>
      <c r="P1079" s="6" t="s">
        <v>62</v>
      </c>
      <c r="Q1079" s="6"/>
      <c r="R1079" t="str">
        <f>HYPERLINK("https://docs.wto.org/imrd/directdoc.asp?DDFDocuments/t/G/TBTN26/RUS182.docx", "https://docs.wto.org/imrd/directdoc.asp?DDFDocuments/t/G/TBTN26/RUS182.docx")</f>
        <v>https://docs.wto.org/imrd/directdoc.asp?DDFDocuments/t/G/TBTN26/RUS182.docx</v>
      </c>
      <c r="S1079" t="str">
        <f>HYPERLINK("https://docs.wto.org/imrd/directdoc.asp?DDFDocuments/u/G/TBTN26/RUS182.docx", "https://docs.wto.org/imrd/directdoc.asp?DDFDocuments/u/G/TBTN26/RUS182.docx")</f>
        <v>https://docs.wto.org/imrd/directdoc.asp?DDFDocuments/u/G/TBTN26/RUS182.docx</v>
      </c>
      <c r="T1079" t="str">
        <f>HYPERLINK("https://docs.wto.org/imrd/directdoc.asp?DDFDocuments/v/G/TBTN26/RUS182.docx", "https://docs.wto.org/imrd/directdoc.asp?DDFDocuments/v/G/TBTN26/RUS182.docx")</f>
        <v>https://docs.wto.org/imrd/directdoc.asp?DDFDocuments/v/G/TBTN26/RUS182.docx</v>
      </c>
      <c r="U1079" t="s">
        <v>64</v>
      </c>
      <c r="V1079" t="s">
        <v>46</v>
      </c>
      <c r="W1079" t="s">
        <v>46</v>
      </c>
      <c r="X1079" t="s">
        <v>46</v>
      </c>
      <c r="Y1079" t="s">
        <v>46</v>
      </c>
      <c r="Z1079" t="s">
        <v>46</v>
      </c>
      <c r="AA1079" t="s">
        <v>46</v>
      </c>
      <c r="AB1079" s="2" t="s">
        <v>4226</v>
      </c>
      <c r="AC1079" t="s">
        <v>43</v>
      </c>
      <c r="AD1079" t="s">
        <v>43</v>
      </c>
      <c r="AE1079" t="s">
        <v>43</v>
      </c>
      <c r="AF1079" t="s">
        <v>43</v>
      </c>
      <c r="AG1079" t="s">
        <v>43</v>
      </c>
      <c r="AH1079" s="2" t="s">
        <v>43</v>
      </c>
    </row>
    <row r="1080" spans="1:34" ht="105">
      <c r="A1080" s="6" t="s">
        <v>356</v>
      </c>
      <c r="B1080" s="7">
        <v>46043</v>
      </c>
      <c r="C1080" s="9" t="str">
        <f>HYPERLINK("https://eping.wto.org/en/Search?viewData= G/SPS/N/EU/859/Add.1"," G/SPS/N/EU/859/Add.1")</f>
        <v xml:space="preserve"> G/SPS/N/EU/859/Add.1</v>
      </c>
      <c r="D1080" s="8" t="s">
        <v>4227</v>
      </c>
      <c r="E1080" s="8" t="s">
        <v>4228</v>
      </c>
      <c r="F1080" s="8" t="s">
        <v>359</v>
      </c>
      <c r="G1080" s="8" t="s">
        <v>360</v>
      </c>
      <c r="H1080" s="8" t="s">
        <v>43</v>
      </c>
      <c r="I1080" s="8" t="s">
        <v>361</v>
      </c>
      <c r="J1080" s="8" t="s">
        <v>43</v>
      </c>
      <c r="K1080" s="8" t="s">
        <v>2449</v>
      </c>
      <c r="L1080" s="6"/>
      <c r="M1080" s="7" t="s">
        <v>43</v>
      </c>
      <c r="N1080" s="7"/>
      <c r="O1080" s="7"/>
      <c r="P1080" s="6" t="s">
        <v>44</v>
      </c>
      <c r="Q1080" s="8" t="s">
        <v>4229</v>
      </c>
      <c r="R1080" t="str">
        <f>HYPERLINK("https://docs.wto.org/imrd/directdoc.asp?DDFDocuments/t/G/SPS/NEU859A1.docx", "https://docs.wto.org/imrd/directdoc.asp?DDFDocuments/t/G/SPS/NEU859A1.docx")</f>
        <v>https://docs.wto.org/imrd/directdoc.asp?DDFDocuments/t/G/SPS/NEU859A1.docx</v>
      </c>
      <c r="S1080" t="str">
        <f>HYPERLINK("https://docs.wto.org/imrd/directdoc.asp?DDFDocuments/u/G/SPS/NEU859A1.docx", "https://docs.wto.org/imrd/directdoc.asp?DDFDocuments/u/G/SPS/NEU859A1.docx")</f>
        <v>https://docs.wto.org/imrd/directdoc.asp?DDFDocuments/u/G/SPS/NEU859A1.docx</v>
      </c>
      <c r="T1080" t="str">
        <f>HYPERLINK("https://docs.wto.org/imrd/directdoc.asp?DDFDocuments/v/G/SPS/NEU859A1.docx", "https://docs.wto.org/imrd/directdoc.asp?DDFDocuments/v/G/SPS/NEU859A1.docx")</f>
        <v>https://docs.wto.org/imrd/directdoc.asp?DDFDocuments/v/G/SPS/NEU859A1.docx</v>
      </c>
      <c r="U1080" t="s">
        <v>43</v>
      </c>
      <c r="V1080" t="s">
        <v>43</v>
      </c>
      <c r="W1080" t="s">
        <v>43</v>
      </c>
      <c r="X1080" t="s">
        <v>43</v>
      </c>
      <c r="Y1080" t="s">
        <v>43</v>
      </c>
      <c r="Z1080" t="s">
        <v>43</v>
      </c>
      <c r="AA1080" t="s">
        <v>43</v>
      </c>
      <c r="AB1080" s="2" t="s">
        <v>43</v>
      </c>
      <c r="AC1080" t="s">
        <v>43</v>
      </c>
      <c r="AD1080" t="s">
        <v>43</v>
      </c>
      <c r="AE1080" t="s">
        <v>43</v>
      </c>
      <c r="AF1080" t="s">
        <v>43</v>
      </c>
      <c r="AG1080" t="s">
        <v>43</v>
      </c>
      <c r="AH1080" s="2" t="s">
        <v>43</v>
      </c>
    </row>
    <row r="1081" spans="1:34" ht="90">
      <c r="A1081" s="6" t="s">
        <v>356</v>
      </c>
      <c r="B1081" s="7">
        <v>46043</v>
      </c>
      <c r="C1081" s="9" t="str">
        <f>HYPERLINK("https://eping.wto.org/en/Search?viewData= G/SPS/N/EU/907"," G/SPS/N/EU/907")</f>
        <v xml:space="preserve"> G/SPS/N/EU/907</v>
      </c>
      <c r="D1081" s="8" t="s">
        <v>4230</v>
      </c>
      <c r="E1081" s="8" t="s">
        <v>4231</v>
      </c>
      <c r="F1081" s="8" t="s">
        <v>359</v>
      </c>
      <c r="G1081" s="8" t="s">
        <v>156</v>
      </c>
      <c r="H1081" s="8" t="s">
        <v>43</v>
      </c>
      <c r="I1081" s="8" t="s">
        <v>361</v>
      </c>
      <c r="J1081" s="8" t="s">
        <v>43</v>
      </c>
      <c r="K1081" s="8" t="s">
        <v>749</v>
      </c>
      <c r="L1081" s="6"/>
      <c r="M1081" s="7" t="s">
        <v>43</v>
      </c>
      <c r="N1081" s="7">
        <v>46002</v>
      </c>
      <c r="O1081" s="7" t="s">
        <v>1184</v>
      </c>
      <c r="P1081" s="6" t="s">
        <v>62</v>
      </c>
      <c r="Q1081" s="8" t="s">
        <v>4232</v>
      </c>
      <c r="R1081" t="str">
        <f>HYPERLINK("https://docs.wto.org/imrd/directdoc.asp?DDFDocuments/t/G/SPS/NEU907.docx", "https://docs.wto.org/imrd/directdoc.asp?DDFDocuments/t/G/SPS/NEU907.docx")</f>
        <v>https://docs.wto.org/imrd/directdoc.asp?DDFDocuments/t/G/SPS/NEU907.docx</v>
      </c>
      <c r="S1081" t="str">
        <f>HYPERLINK("https://docs.wto.org/imrd/directdoc.asp?DDFDocuments/u/G/SPS/NEU907.docx", "https://docs.wto.org/imrd/directdoc.asp?DDFDocuments/u/G/SPS/NEU907.docx")</f>
        <v>https://docs.wto.org/imrd/directdoc.asp?DDFDocuments/u/G/SPS/NEU907.docx</v>
      </c>
      <c r="T1081" t="str">
        <f>HYPERLINK("https://docs.wto.org/imrd/directdoc.asp?DDFDocuments/v/G/SPS/NEU907.docx", "https://docs.wto.org/imrd/directdoc.asp?DDFDocuments/v/G/SPS/NEU907.docx")</f>
        <v>https://docs.wto.org/imrd/directdoc.asp?DDFDocuments/v/G/SPS/NEU907.docx</v>
      </c>
      <c r="U1081" t="s">
        <v>43</v>
      </c>
      <c r="V1081" t="s">
        <v>43</v>
      </c>
      <c r="W1081" t="s">
        <v>43</v>
      </c>
      <c r="X1081" t="s">
        <v>43</v>
      </c>
      <c r="Y1081" t="s">
        <v>43</v>
      </c>
      <c r="Z1081" t="s">
        <v>43</v>
      </c>
      <c r="AA1081" t="s">
        <v>43</v>
      </c>
      <c r="AB1081" s="2" t="s">
        <v>43</v>
      </c>
      <c r="AC1081" t="s">
        <v>64</v>
      </c>
      <c r="AD1081" t="s">
        <v>46</v>
      </c>
      <c r="AE1081" t="s">
        <v>46</v>
      </c>
      <c r="AF1081" t="s">
        <v>46</v>
      </c>
      <c r="AG1081" t="s">
        <v>64</v>
      </c>
      <c r="AH1081" s="2" t="s">
        <v>43</v>
      </c>
    </row>
    <row r="1082" spans="1:34" ht="60">
      <c r="A1082" s="6" t="s">
        <v>209</v>
      </c>
      <c r="B1082" s="7">
        <v>46043</v>
      </c>
      <c r="C1082" s="9" t="str">
        <f>HYPERLINK("https://eping.wto.org/en/Search?viewData= G/TBT/N/RUS/181"," G/TBT/N/RUS/181")</f>
        <v xml:space="preserve"> G/TBT/N/RUS/181</v>
      </c>
      <c r="D1082" s="8" t="s">
        <v>4233</v>
      </c>
      <c r="E1082" s="8" t="s">
        <v>4234</v>
      </c>
      <c r="F1082" s="8" t="s">
        <v>4235</v>
      </c>
      <c r="G1082" s="8" t="s">
        <v>43</v>
      </c>
      <c r="H1082" s="8" t="s">
        <v>43</v>
      </c>
      <c r="I1082" s="8" t="s">
        <v>4236</v>
      </c>
      <c r="J1082" s="8" t="s">
        <v>43</v>
      </c>
      <c r="K1082" s="8" t="s">
        <v>350</v>
      </c>
      <c r="L1082" s="6"/>
      <c r="M1082" s="7">
        <v>46103</v>
      </c>
      <c r="N1082" s="7" t="s">
        <v>79</v>
      </c>
      <c r="O1082" s="7" t="s">
        <v>79</v>
      </c>
      <c r="P1082" s="6" t="s">
        <v>62</v>
      </c>
      <c r="Q1082" s="6"/>
      <c r="R1082" t="str">
        <f>HYPERLINK("https://docs.wto.org/imrd/directdoc.asp?DDFDocuments/t/G/TBTN26/RUS181.docx", "https://docs.wto.org/imrd/directdoc.asp?DDFDocuments/t/G/TBTN26/RUS181.docx")</f>
        <v>https://docs.wto.org/imrd/directdoc.asp?DDFDocuments/t/G/TBTN26/RUS181.docx</v>
      </c>
      <c r="S1082" t="str">
        <f>HYPERLINK("https://docs.wto.org/imrd/directdoc.asp?DDFDocuments/u/G/TBTN26/RUS181.docx", "https://docs.wto.org/imrd/directdoc.asp?DDFDocuments/u/G/TBTN26/RUS181.docx")</f>
        <v>https://docs.wto.org/imrd/directdoc.asp?DDFDocuments/u/G/TBTN26/RUS181.docx</v>
      </c>
      <c r="T1082" t="str">
        <f>HYPERLINK("https://docs.wto.org/imrd/directdoc.asp?DDFDocuments/v/G/TBTN26/RUS181.docx", "https://docs.wto.org/imrd/directdoc.asp?DDFDocuments/v/G/TBTN26/RUS181.docx")</f>
        <v>https://docs.wto.org/imrd/directdoc.asp?DDFDocuments/v/G/TBTN26/RUS181.docx</v>
      </c>
      <c r="U1082" t="s">
        <v>64</v>
      </c>
      <c r="V1082" t="s">
        <v>46</v>
      </c>
      <c r="W1082" t="s">
        <v>46</v>
      </c>
      <c r="X1082" t="s">
        <v>46</v>
      </c>
      <c r="Y1082" t="s">
        <v>46</v>
      </c>
      <c r="Z1082" t="s">
        <v>46</v>
      </c>
      <c r="AA1082" t="s">
        <v>46</v>
      </c>
      <c r="AB1082" s="2" t="s">
        <v>4237</v>
      </c>
      <c r="AC1082" t="s">
        <v>43</v>
      </c>
      <c r="AD1082" t="s">
        <v>43</v>
      </c>
      <c r="AE1082" t="s">
        <v>43</v>
      </c>
      <c r="AF1082" t="s">
        <v>43</v>
      </c>
      <c r="AG1082" t="s">
        <v>43</v>
      </c>
      <c r="AH1082" s="2" t="s">
        <v>43</v>
      </c>
    </row>
    <row r="1083" spans="1:34" ht="195">
      <c r="A1083" s="6" t="s">
        <v>89</v>
      </c>
      <c r="B1083" s="7">
        <v>46043</v>
      </c>
      <c r="C1083" s="9" t="str">
        <f>HYPERLINK("https://eping.wto.org/en/Search?viewData= G/TBT/N/CRI/193/Add.17"," G/TBT/N/CRI/193/Add.17")</f>
        <v xml:space="preserve"> G/TBT/N/CRI/193/Add.17</v>
      </c>
      <c r="D1083" s="8" t="s">
        <v>416</v>
      </c>
      <c r="E1083" s="8" t="s">
        <v>4238</v>
      </c>
      <c r="F1083" s="8" t="s">
        <v>418</v>
      </c>
      <c r="G1083" s="8" t="s">
        <v>43</v>
      </c>
      <c r="H1083" s="8" t="s">
        <v>419</v>
      </c>
      <c r="I1083" s="8" t="s">
        <v>420</v>
      </c>
      <c r="J1083" s="8" t="s">
        <v>421</v>
      </c>
      <c r="K1083" s="8" t="s">
        <v>43</v>
      </c>
      <c r="L1083" s="6"/>
      <c r="M1083" s="7" t="s">
        <v>43</v>
      </c>
      <c r="N1083" s="7"/>
      <c r="O1083" s="7"/>
      <c r="P1083" s="6" t="s">
        <v>44</v>
      </c>
      <c r="Q1083" s="8" t="s">
        <v>4239</v>
      </c>
      <c r="R1083" t="str">
        <f>HYPERLINK("https://docs.wto.org/imrd/directdoc.asp?DDFDocuments/t/G/TBTN21/CRI193A17.docx", "https://docs.wto.org/imrd/directdoc.asp?DDFDocuments/t/G/TBTN21/CRI193A17.docx")</f>
        <v>https://docs.wto.org/imrd/directdoc.asp?DDFDocuments/t/G/TBTN21/CRI193A17.docx</v>
      </c>
      <c r="S1083" t="str">
        <f>HYPERLINK("https://docs.wto.org/imrd/directdoc.asp?DDFDocuments/u/G/TBTN21/CRI193A17.docx", "https://docs.wto.org/imrd/directdoc.asp?DDFDocuments/u/G/TBTN21/CRI193A17.docx")</f>
        <v>https://docs.wto.org/imrd/directdoc.asp?DDFDocuments/u/G/TBTN21/CRI193A17.docx</v>
      </c>
      <c r="T1083" t="str">
        <f>HYPERLINK("https://docs.wto.org/imrd/directdoc.asp?DDFDocuments/v/G/TBTN21/CRI193A17.docx", "https://docs.wto.org/imrd/directdoc.asp?DDFDocuments/v/G/TBTN21/CRI193A17.docx")</f>
        <v>https://docs.wto.org/imrd/directdoc.asp?DDFDocuments/v/G/TBTN21/CRI193A17.docx</v>
      </c>
      <c r="U1083" t="s">
        <v>64</v>
      </c>
      <c r="V1083" t="s">
        <v>46</v>
      </c>
      <c r="W1083" t="s">
        <v>46</v>
      </c>
      <c r="X1083" t="s">
        <v>46</v>
      </c>
      <c r="Y1083" t="s">
        <v>46</v>
      </c>
      <c r="Z1083" t="s">
        <v>46</v>
      </c>
      <c r="AA1083" t="s">
        <v>46</v>
      </c>
      <c r="AB1083" s="2" t="s">
        <v>43</v>
      </c>
      <c r="AC1083" t="s">
        <v>43</v>
      </c>
      <c r="AD1083" t="s">
        <v>43</v>
      </c>
      <c r="AE1083" t="s">
        <v>43</v>
      </c>
      <c r="AF1083" t="s">
        <v>43</v>
      </c>
      <c r="AG1083" t="s">
        <v>43</v>
      </c>
      <c r="AH1083" s="2" t="s">
        <v>43</v>
      </c>
    </row>
    <row r="1084" spans="1:34" ht="195">
      <c r="A1084" s="6" t="s">
        <v>89</v>
      </c>
      <c r="B1084" s="7">
        <v>46043</v>
      </c>
      <c r="C1084" s="9" t="str">
        <f>HYPERLINK("https://eping.wto.org/en/Search?viewData= G/TBT/N/CRI/193/Add.18"," G/TBT/N/CRI/193/Add.18")</f>
        <v xml:space="preserve"> G/TBT/N/CRI/193/Add.18</v>
      </c>
      <c r="D1084" s="8" t="s">
        <v>4240</v>
      </c>
      <c r="E1084" s="8" t="s">
        <v>4241</v>
      </c>
      <c r="F1084" s="8" t="s">
        <v>418</v>
      </c>
      <c r="G1084" s="8" t="s">
        <v>43</v>
      </c>
      <c r="H1084" s="8" t="s">
        <v>419</v>
      </c>
      <c r="I1084" s="8" t="s">
        <v>420</v>
      </c>
      <c r="J1084" s="8" t="s">
        <v>421</v>
      </c>
      <c r="K1084" s="8" t="s">
        <v>43</v>
      </c>
      <c r="L1084" s="6"/>
      <c r="M1084" s="7" t="s">
        <v>43</v>
      </c>
      <c r="N1084" s="7"/>
      <c r="O1084" s="7"/>
      <c r="P1084" s="6" t="s">
        <v>44</v>
      </c>
      <c r="Q1084" s="8" t="s">
        <v>4242</v>
      </c>
      <c r="R1084" t="str">
        <f>HYPERLINK("https://docs.wto.org/imrd/directdoc.asp?DDFDocuments/t/G/TBTN21/CRI193A18.docx", "https://docs.wto.org/imrd/directdoc.asp?DDFDocuments/t/G/TBTN21/CRI193A18.docx")</f>
        <v>https://docs.wto.org/imrd/directdoc.asp?DDFDocuments/t/G/TBTN21/CRI193A18.docx</v>
      </c>
      <c r="S1084" t="str">
        <f>HYPERLINK("https://docs.wto.org/imrd/directdoc.asp?DDFDocuments/u/G/TBTN21/CRI193A18.docx", "https://docs.wto.org/imrd/directdoc.asp?DDFDocuments/u/G/TBTN21/CRI193A18.docx")</f>
        <v>https://docs.wto.org/imrd/directdoc.asp?DDFDocuments/u/G/TBTN21/CRI193A18.docx</v>
      </c>
      <c r="T1084" t="str">
        <f>HYPERLINK("https://docs.wto.org/imrd/directdoc.asp?DDFDocuments/v/G/TBTN21/CRI193A18.docx", "https://docs.wto.org/imrd/directdoc.asp?DDFDocuments/v/G/TBTN21/CRI193A18.docx")</f>
        <v>https://docs.wto.org/imrd/directdoc.asp?DDFDocuments/v/G/TBTN21/CRI193A18.docx</v>
      </c>
      <c r="U1084" t="s">
        <v>64</v>
      </c>
      <c r="V1084" t="s">
        <v>46</v>
      </c>
      <c r="W1084" t="s">
        <v>46</v>
      </c>
      <c r="X1084" t="s">
        <v>46</v>
      </c>
      <c r="Y1084" t="s">
        <v>46</v>
      </c>
      <c r="Z1084" t="s">
        <v>46</v>
      </c>
      <c r="AA1084" t="s">
        <v>46</v>
      </c>
      <c r="AB1084" s="2" t="s">
        <v>43</v>
      </c>
      <c r="AC1084" t="s">
        <v>43</v>
      </c>
      <c r="AD1084" t="s">
        <v>43</v>
      </c>
      <c r="AE1084" t="s">
        <v>43</v>
      </c>
      <c r="AF1084" t="s">
        <v>43</v>
      </c>
      <c r="AG1084" t="s">
        <v>43</v>
      </c>
      <c r="AH1084" s="2" t="s">
        <v>43</v>
      </c>
    </row>
    <row r="1085" spans="1:34" ht="60">
      <c r="A1085" s="6" t="s">
        <v>289</v>
      </c>
      <c r="B1085" s="7">
        <v>46043</v>
      </c>
      <c r="C1085" s="9" t="str">
        <f>HYPERLINK("https://eping.wto.org/en/Search?viewData= G/SPS/N/BRA/2463"," G/SPS/N/BRA/2463")</f>
        <v xml:space="preserve"> G/SPS/N/BRA/2463</v>
      </c>
      <c r="D1085" s="8" t="s">
        <v>4243</v>
      </c>
      <c r="E1085" s="8" t="s">
        <v>4244</v>
      </c>
      <c r="F1085" s="8" t="s">
        <v>4197</v>
      </c>
      <c r="G1085" s="8" t="s">
        <v>43</v>
      </c>
      <c r="H1085" s="8" t="s">
        <v>43</v>
      </c>
      <c r="I1085" s="8" t="s">
        <v>1090</v>
      </c>
      <c r="J1085" s="8" t="s">
        <v>43</v>
      </c>
      <c r="K1085" s="8" t="s">
        <v>310</v>
      </c>
      <c r="L1085" s="6" t="s">
        <v>43</v>
      </c>
      <c r="M1085" s="7">
        <v>46103</v>
      </c>
      <c r="N1085" s="7">
        <v>45975</v>
      </c>
      <c r="O1085" s="7">
        <v>45975</v>
      </c>
      <c r="P1085" s="6" t="s">
        <v>62</v>
      </c>
      <c r="Q1085" s="8" t="s">
        <v>4245</v>
      </c>
      <c r="R1085" t="str">
        <f>HYPERLINK("https://docs.wto.org/imrd/directdoc.asp?DDFDocuments/t/G/SPS/NBRA2463.docx", "https://docs.wto.org/imrd/directdoc.asp?DDFDocuments/t/G/SPS/NBRA2463.docx")</f>
        <v>https://docs.wto.org/imrd/directdoc.asp?DDFDocuments/t/G/SPS/NBRA2463.docx</v>
      </c>
      <c r="S1085" t="str">
        <f>HYPERLINK("https://docs.wto.org/imrd/directdoc.asp?DDFDocuments/u/G/SPS/NBRA2463.docx", "https://docs.wto.org/imrd/directdoc.asp?DDFDocuments/u/G/SPS/NBRA2463.docx")</f>
        <v>https://docs.wto.org/imrd/directdoc.asp?DDFDocuments/u/G/SPS/NBRA2463.docx</v>
      </c>
      <c r="T1085" t="str">
        <f>HYPERLINK("https://docs.wto.org/imrd/directdoc.asp?DDFDocuments/v/G/SPS/NBRA2463.docx", "https://docs.wto.org/imrd/directdoc.asp?DDFDocuments/v/G/SPS/NBRA2463.docx")</f>
        <v>https://docs.wto.org/imrd/directdoc.asp?DDFDocuments/v/G/SPS/NBRA2463.docx</v>
      </c>
      <c r="U1085" t="s">
        <v>43</v>
      </c>
      <c r="V1085" t="s">
        <v>43</v>
      </c>
      <c r="W1085" t="s">
        <v>43</v>
      </c>
      <c r="X1085" t="s">
        <v>43</v>
      </c>
      <c r="Y1085" t="s">
        <v>43</v>
      </c>
      <c r="Z1085" t="s">
        <v>43</v>
      </c>
      <c r="AA1085" t="s">
        <v>43</v>
      </c>
      <c r="AB1085" s="2" t="s">
        <v>43</v>
      </c>
      <c r="AC1085" t="s">
        <v>64</v>
      </c>
      <c r="AD1085" t="s">
        <v>64</v>
      </c>
      <c r="AE1085" t="s">
        <v>46</v>
      </c>
      <c r="AF1085" t="s">
        <v>46</v>
      </c>
      <c r="AG1085" t="s">
        <v>64</v>
      </c>
      <c r="AH1085" s="2" t="s">
        <v>43</v>
      </c>
    </row>
    <row r="1086" spans="1:34" ht="75">
      <c r="A1086" s="6" t="s">
        <v>89</v>
      </c>
      <c r="B1086" s="7">
        <v>46043</v>
      </c>
      <c r="C1086" s="9" t="str">
        <f>HYPERLINK("https://eping.wto.org/en/Search?viewData= G/TBT/N/CRI/198/Add.5"," G/TBT/N/CRI/198/Add.5")</f>
        <v xml:space="preserve"> G/TBT/N/CRI/198/Add.5</v>
      </c>
      <c r="D1086" s="8" t="s">
        <v>4042</v>
      </c>
      <c r="E1086" s="8" t="s">
        <v>4246</v>
      </c>
      <c r="F1086" s="8" t="s">
        <v>4044</v>
      </c>
      <c r="G1086" s="8" t="s">
        <v>43</v>
      </c>
      <c r="H1086" s="8" t="s">
        <v>4045</v>
      </c>
      <c r="I1086" s="8" t="s">
        <v>3083</v>
      </c>
      <c r="J1086" s="8" t="s">
        <v>43</v>
      </c>
      <c r="K1086" s="8" t="s">
        <v>43</v>
      </c>
      <c r="L1086" s="6"/>
      <c r="M1086" s="7" t="s">
        <v>43</v>
      </c>
      <c r="N1086" s="7"/>
      <c r="O1086" s="7"/>
      <c r="P1086" s="6" t="s">
        <v>44</v>
      </c>
      <c r="Q1086" s="8" t="s">
        <v>4247</v>
      </c>
      <c r="R1086" t="str">
        <f>HYPERLINK("https://docs.wto.org/imrd/directdoc.asp?DDFDocuments/t/G/TBTN22/CRI198A5.docx", "https://docs.wto.org/imrd/directdoc.asp?DDFDocuments/t/G/TBTN22/CRI198A5.docx")</f>
        <v>https://docs.wto.org/imrd/directdoc.asp?DDFDocuments/t/G/TBTN22/CRI198A5.docx</v>
      </c>
      <c r="S1086" t="str">
        <f>HYPERLINK("https://docs.wto.org/imrd/directdoc.asp?DDFDocuments/u/G/TBTN22/CRI198A5.docx", "https://docs.wto.org/imrd/directdoc.asp?DDFDocuments/u/G/TBTN22/CRI198A5.docx")</f>
        <v>https://docs.wto.org/imrd/directdoc.asp?DDFDocuments/u/G/TBTN22/CRI198A5.docx</v>
      </c>
      <c r="T1086" t="str">
        <f>HYPERLINK("https://docs.wto.org/imrd/directdoc.asp?DDFDocuments/v/G/TBTN22/CRI198A5.docx", "https://docs.wto.org/imrd/directdoc.asp?DDFDocuments/v/G/TBTN22/CRI198A5.docx")</f>
        <v>https://docs.wto.org/imrd/directdoc.asp?DDFDocuments/v/G/TBTN22/CRI198A5.docx</v>
      </c>
      <c r="U1086" t="s">
        <v>64</v>
      </c>
      <c r="V1086" t="s">
        <v>46</v>
      </c>
      <c r="W1086" t="s">
        <v>46</v>
      </c>
      <c r="X1086" t="s">
        <v>46</v>
      </c>
      <c r="Y1086" t="s">
        <v>46</v>
      </c>
      <c r="Z1086" t="s">
        <v>46</v>
      </c>
      <c r="AA1086" t="s">
        <v>46</v>
      </c>
      <c r="AB1086" s="2" t="s">
        <v>43</v>
      </c>
      <c r="AC1086" t="s">
        <v>43</v>
      </c>
      <c r="AD1086" t="s">
        <v>43</v>
      </c>
      <c r="AE1086" t="s">
        <v>43</v>
      </c>
      <c r="AF1086" t="s">
        <v>43</v>
      </c>
      <c r="AG1086" t="s">
        <v>43</v>
      </c>
      <c r="AH1086" s="2" t="s">
        <v>43</v>
      </c>
    </row>
    <row r="1087" spans="1:34" ht="30">
      <c r="A1087" s="6" t="s">
        <v>325</v>
      </c>
      <c r="B1087" s="7">
        <v>46043</v>
      </c>
      <c r="C1087" s="9" t="str">
        <f>HYPERLINK("https://eping.wto.org/en/Search?viewData= G/SPS/N/TPKM/657"," G/SPS/N/TPKM/657")</f>
        <v xml:space="preserve"> G/SPS/N/TPKM/657</v>
      </c>
      <c r="D1087" s="8" t="s">
        <v>4248</v>
      </c>
      <c r="E1087" s="8" t="s">
        <v>4249</v>
      </c>
      <c r="F1087" s="8" t="s">
        <v>2983</v>
      </c>
      <c r="G1087" s="8" t="s">
        <v>43</v>
      </c>
      <c r="H1087" s="8" t="s">
        <v>43</v>
      </c>
      <c r="I1087" s="8" t="s">
        <v>94</v>
      </c>
      <c r="J1087" s="8" t="s">
        <v>43</v>
      </c>
      <c r="K1087" s="8" t="s">
        <v>121</v>
      </c>
      <c r="L1087" s="6" t="s">
        <v>132</v>
      </c>
      <c r="M1087" s="7">
        <v>46103</v>
      </c>
      <c r="N1087" s="7" t="s">
        <v>304</v>
      </c>
      <c r="O1087" s="7" t="s">
        <v>304</v>
      </c>
      <c r="P1087" s="6" t="s">
        <v>62</v>
      </c>
      <c r="Q1087" s="8" t="s">
        <v>4250</v>
      </c>
      <c r="R1087" t="str">
        <f>HYPERLINK("https://docs.wto.org/imrd/directdoc.asp?DDFDocuments/t/G/SPS/NTPKM657.docx", "https://docs.wto.org/imrd/directdoc.asp?DDFDocuments/t/G/SPS/NTPKM657.docx")</f>
        <v>https://docs.wto.org/imrd/directdoc.asp?DDFDocuments/t/G/SPS/NTPKM657.docx</v>
      </c>
      <c r="S1087" t="str">
        <f>HYPERLINK("https://docs.wto.org/imrd/directdoc.asp?DDFDocuments/u/G/SPS/NTPKM657.docx", "https://docs.wto.org/imrd/directdoc.asp?DDFDocuments/u/G/SPS/NTPKM657.docx")</f>
        <v>https://docs.wto.org/imrd/directdoc.asp?DDFDocuments/u/G/SPS/NTPKM657.docx</v>
      </c>
      <c r="T1087" t="str">
        <f>HYPERLINK("https://docs.wto.org/imrd/directdoc.asp?DDFDocuments/v/G/SPS/NTPKM657.docx", "https://docs.wto.org/imrd/directdoc.asp?DDFDocuments/v/G/SPS/NTPKM657.docx")</f>
        <v>https://docs.wto.org/imrd/directdoc.asp?DDFDocuments/v/G/SPS/NTPKM657.docx</v>
      </c>
      <c r="U1087" t="s">
        <v>43</v>
      </c>
      <c r="V1087" t="s">
        <v>43</v>
      </c>
      <c r="W1087" t="s">
        <v>43</v>
      </c>
      <c r="X1087" t="s">
        <v>43</v>
      </c>
      <c r="Y1087" t="s">
        <v>43</v>
      </c>
      <c r="Z1087" t="s">
        <v>43</v>
      </c>
      <c r="AA1087" t="s">
        <v>43</v>
      </c>
      <c r="AB1087" s="2" t="s">
        <v>43</v>
      </c>
      <c r="AC1087" t="s">
        <v>46</v>
      </c>
      <c r="AD1087" t="s">
        <v>46</v>
      </c>
      <c r="AE1087" t="s">
        <v>64</v>
      </c>
      <c r="AF1087" t="s">
        <v>46</v>
      </c>
      <c r="AG1087" t="s">
        <v>64</v>
      </c>
      <c r="AH1087" s="2" t="s">
        <v>43</v>
      </c>
    </row>
    <row r="1088" spans="1:34" ht="60">
      <c r="A1088" s="6" t="s">
        <v>82</v>
      </c>
      <c r="B1088" s="7">
        <v>46043</v>
      </c>
      <c r="C1088" s="9" t="str">
        <f>HYPERLINK("https://eping.wto.org/en/Search?viewData= G/TBT/N/JPN/897"," G/TBT/N/JPN/897")</f>
        <v xml:space="preserve"> G/TBT/N/JPN/897</v>
      </c>
      <c r="D1088" s="8" t="s">
        <v>1423</v>
      </c>
      <c r="E1088" s="8" t="s">
        <v>4251</v>
      </c>
      <c r="F1088" s="8" t="s">
        <v>1425</v>
      </c>
      <c r="G1088" s="8" t="s">
        <v>1426</v>
      </c>
      <c r="H1088" s="8" t="s">
        <v>1427</v>
      </c>
      <c r="I1088" s="8" t="s">
        <v>52</v>
      </c>
      <c r="J1088" s="8" t="s">
        <v>4252</v>
      </c>
      <c r="K1088" s="8" t="s">
        <v>350</v>
      </c>
      <c r="L1088" s="6"/>
      <c r="M1088" s="7" t="s">
        <v>43</v>
      </c>
      <c r="N1088" s="7">
        <v>46043</v>
      </c>
      <c r="O1088" s="7">
        <v>46053</v>
      </c>
      <c r="P1088" s="6" t="s">
        <v>62</v>
      </c>
      <c r="Q1088" s="8" t="s">
        <v>4253</v>
      </c>
      <c r="R1088" t="str">
        <f>HYPERLINK("https://docs.wto.org/imrd/directdoc.asp?DDFDocuments/t/G/TBTN26/JPN897.docx", "https://docs.wto.org/imrd/directdoc.asp?DDFDocuments/t/G/TBTN26/JPN897.docx")</f>
        <v>https://docs.wto.org/imrd/directdoc.asp?DDFDocuments/t/G/TBTN26/JPN897.docx</v>
      </c>
      <c r="S1088" t="str">
        <f>HYPERLINK("https://docs.wto.org/imrd/directdoc.asp?DDFDocuments/u/G/TBTN26/JPN897.docx", "https://docs.wto.org/imrd/directdoc.asp?DDFDocuments/u/G/TBTN26/JPN897.docx")</f>
        <v>https://docs.wto.org/imrd/directdoc.asp?DDFDocuments/u/G/TBTN26/JPN897.docx</v>
      </c>
      <c r="T1088" t="str">
        <f>HYPERLINK("https://docs.wto.org/imrd/directdoc.asp?DDFDocuments/v/G/TBTN26/JPN897.docx", "https://docs.wto.org/imrd/directdoc.asp?DDFDocuments/v/G/TBTN26/JPN897.docx")</f>
        <v>https://docs.wto.org/imrd/directdoc.asp?DDFDocuments/v/G/TBTN26/JPN897.docx</v>
      </c>
      <c r="U1088" t="s">
        <v>46</v>
      </c>
      <c r="V1088" t="s">
        <v>64</v>
      </c>
      <c r="W1088" t="s">
        <v>46</v>
      </c>
      <c r="X1088" t="s">
        <v>46</v>
      </c>
      <c r="Y1088" t="s">
        <v>46</v>
      </c>
      <c r="Z1088" t="s">
        <v>46</v>
      </c>
      <c r="AA1088" t="s">
        <v>46</v>
      </c>
      <c r="AB1088" s="2" t="s">
        <v>1430</v>
      </c>
      <c r="AC1088" t="s">
        <v>43</v>
      </c>
      <c r="AD1088" t="s">
        <v>43</v>
      </c>
      <c r="AE1088" t="s">
        <v>43</v>
      </c>
      <c r="AF1088" t="s">
        <v>43</v>
      </c>
      <c r="AG1088" t="s">
        <v>43</v>
      </c>
      <c r="AH1088" s="2" t="s">
        <v>43</v>
      </c>
    </row>
    <row r="1089" spans="1:34" ht="120">
      <c r="A1089" s="6" t="s">
        <v>132</v>
      </c>
      <c r="B1089" s="7">
        <v>46043</v>
      </c>
      <c r="C1089" s="9" t="str">
        <f>HYPERLINK("https://eping.wto.org/en/Search?viewData= G/SPS/N/USA/3546"," G/SPS/N/USA/3546")</f>
        <v xml:space="preserve"> G/SPS/N/USA/3546</v>
      </c>
      <c r="D1089" s="8" t="s">
        <v>4254</v>
      </c>
      <c r="E1089" s="8" t="s">
        <v>4255</v>
      </c>
      <c r="F1089" s="8" t="s">
        <v>4256</v>
      </c>
      <c r="G1089" s="8" t="s">
        <v>43</v>
      </c>
      <c r="H1089" s="8" t="s">
        <v>43</v>
      </c>
      <c r="I1089" s="8" t="s">
        <v>58</v>
      </c>
      <c r="J1089" s="8" t="s">
        <v>43</v>
      </c>
      <c r="K1089" s="8" t="s">
        <v>2637</v>
      </c>
      <c r="L1089" s="6"/>
      <c r="M1089" s="7" t="s">
        <v>43</v>
      </c>
      <c r="N1089" s="7">
        <v>46036</v>
      </c>
      <c r="O1089" s="7">
        <v>46036</v>
      </c>
      <c r="P1089" s="6" t="s">
        <v>62</v>
      </c>
      <c r="Q1089" s="8" t="s">
        <v>4257</v>
      </c>
      <c r="R1089" t="str">
        <f>HYPERLINK("https://docs.wto.org/imrd/directdoc.asp?DDFDocuments/t/G/SPS/NUSA3546.docx", "https://docs.wto.org/imrd/directdoc.asp?DDFDocuments/t/G/SPS/NUSA3546.docx")</f>
        <v>https://docs.wto.org/imrd/directdoc.asp?DDFDocuments/t/G/SPS/NUSA3546.docx</v>
      </c>
      <c r="S1089" t="str">
        <f>HYPERLINK("https://docs.wto.org/imrd/directdoc.asp?DDFDocuments/u/G/SPS/NUSA3546.docx", "https://docs.wto.org/imrd/directdoc.asp?DDFDocuments/u/G/SPS/NUSA3546.docx")</f>
        <v>https://docs.wto.org/imrd/directdoc.asp?DDFDocuments/u/G/SPS/NUSA3546.docx</v>
      </c>
      <c r="T1089" t="str">
        <f>HYPERLINK("https://docs.wto.org/imrd/directdoc.asp?DDFDocuments/v/G/SPS/NUSA3546.docx", "https://docs.wto.org/imrd/directdoc.asp?DDFDocuments/v/G/SPS/NUSA3546.docx")</f>
        <v>https://docs.wto.org/imrd/directdoc.asp?DDFDocuments/v/G/SPS/NUSA3546.docx</v>
      </c>
      <c r="U1089" t="s">
        <v>43</v>
      </c>
      <c r="V1089" t="s">
        <v>43</v>
      </c>
      <c r="W1089" t="s">
        <v>43</v>
      </c>
      <c r="X1089" t="s">
        <v>43</v>
      </c>
      <c r="Y1089" t="s">
        <v>43</v>
      </c>
      <c r="Z1089" t="s">
        <v>43</v>
      </c>
      <c r="AA1089" t="s">
        <v>43</v>
      </c>
      <c r="AB1089" s="2" t="s">
        <v>43</v>
      </c>
      <c r="AC1089" t="s">
        <v>64</v>
      </c>
      <c r="AD1089" t="s">
        <v>46</v>
      </c>
      <c r="AE1089" t="s">
        <v>46</v>
      </c>
      <c r="AF1089" t="s">
        <v>46</v>
      </c>
      <c r="AG1089" t="s">
        <v>46</v>
      </c>
      <c r="AH1089" s="2" t="s">
        <v>4258</v>
      </c>
    </row>
    <row r="1090" spans="1:34" ht="45">
      <c r="A1090" s="6" t="s">
        <v>289</v>
      </c>
      <c r="B1090" s="7">
        <v>46043</v>
      </c>
      <c r="C1090" s="9" t="str">
        <f>HYPERLINK("https://eping.wto.org/en/Search?viewData= G/TBT/N/BRA/1616/Corr.2"," G/TBT/N/BRA/1616/Corr.2")</f>
        <v xml:space="preserve"> G/TBT/N/BRA/1616/Corr.2</v>
      </c>
      <c r="D1090" s="8" t="s">
        <v>3980</v>
      </c>
      <c r="E1090" s="8" t="s">
        <v>4259</v>
      </c>
      <c r="F1090" s="8" t="s">
        <v>3982</v>
      </c>
      <c r="G1090" s="8" t="s">
        <v>43</v>
      </c>
      <c r="H1090" s="8" t="s">
        <v>43</v>
      </c>
      <c r="I1090" s="8" t="s">
        <v>129</v>
      </c>
      <c r="J1090" s="8" t="s">
        <v>3983</v>
      </c>
      <c r="K1090" s="8" t="s">
        <v>43</v>
      </c>
      <c r="L1090" s="6"/>
      <c r="M1090" s="7" t="s">
        <v>43</v>
      </c>
      <c r="N1090" s="7"/>
      <c r="O1090" s="7"/>
      <c r="P1090" s="6" t="s">
        <v>296</v>
      </c>
      <c r="Q1090" s="8" t="s">
        <v>4260</v>
      </c>
      <c r="R1090" t="str">
        <f>HYPERLINK("https://docs.wto.org/imrd/directdoc.asp?DDFDocuments/t/G/TBTN26/BRA1616C2.docx", "https://docs.wto.org/imrd/directdoc.asp?DDFDocuments/t/G/TBTN26/BRA1616C2.docx")</f>
        <v>https://docs.wto.org/imrd/directdoc.asp?DDFDocuments/t/G/TBTN26/BRA1616C2.docx</v>
      </c>
      <c r="S1090" t="str">
        <f>HYPERLINK("https://docs.wto.org/imrd/directdoc.asp?DDFDocuments/u/G/TBTN26/BRA1616C2.docx", "https://docs.wto.org/imrd/directdoc.asp?DDFDocuments/u/G/TBTN26/BRA1616C2.docx")</f>
        <v>https://docs.wto.org/imrd/directdoc.asp?DDFDocuments/u/G/TBTN26/BRA1616C2.docx</v>
      </c>
      <c r="T1090" t="str">
        <f>HYPERLINK("https://docs.wto.org/imrd/directdoc.asp?DDFDocuments/v/G/TBTN26/BRA1616C2.docx", "https://docs.wto.org/imrd/directdoc.asp?DDFDocuments/v/G/TBTN26/BRA1616C2.docx")</f>
        <v>https://docs.wto.org/imrd/directdoc.asp?DDFDocuments/v/G/TBTN26/BRA1616C2.docx</v>
      </c>
      <c r="U1090" t="s">
        <v>46</v>
      </c>
      <c r="V1090" t="s">
        <v>46</v>
      </c>
      <c r="W1090" t="s">
        <v>46</v>
      </c>
      <c r="X1090" t="s">
        <v>46</v>
      </c>
      <c r="Y1090" t="s">
        <v>46</v>
      </c>
      <c r="Z1090" t="s">
        <v>46</v>
      </c>
      <c r="AA1090" t="s">
        <v>46</v>
      </c>
      <c r="AB1090" s="2" t="s">
        <v>43</v>
      </c>
      <c r="AC1090" t="s">
        <v>43</v>
      </c>
      <c r="AD1090" t="s">
        <v>43</v>
      </c>
      <c r="AE1090" t="s">
        <v>43</v>
      </c>
      <c r="AF1090" t="s">
        <v>43</v>
      </c>
      <c r="AG1090" t="s">
        <v>43</v>
      </c>
      <c r="AH1090" s="2" t="s">
        <v>43</v>
      </c>
    </row>
    <row r="1091" spans="1:34" ht="105">
      <c r="A1091" s="6" t="s">
        <v>289</v>
      </c>
      <c r="B1091" s="7">
        <v>46042</v>
      </c>
      <c r="C1091" s="9" t="str">
        <f>HYPERLINK("https://eping.wto.org/en/Search?viewData= G/TBT/N/BRA/781/Add.10"," G/TBT/N/BRA/781/Add.10")</f>
        <v xml:space="preserve"> G/TBT/N/BRA/781/Add.10</v>
      </c>
      <c r="D1091" s="8" t="s">
        <v>4261</v>
      </c>
      <c r="E1091" s="8" t="s">
        <v>4262</v>
      </c>
      <c r="F1091" s="8" t="s">
        <v>4263</v>
      </c>
      <c r="G1091" s="8" t="s">
        <v>43</v>
      </c>
      <c r="H1091" s="8" t="s">
        <v>2868</v>
      </c>
      <c r="I1091" s="8" t="s">
        <v>275</v>
      </c>
      <c r="J1091" s="8" t="s">
        <v>4264</v>
      </c>
      <c r="K1091" s="8" t="s">
        <v>4265</v>
      </c>
      <c r="L1091" s="6"/>
      <c r="M1091" s="7" t="s">
        <v>43</v>
      </c>
      <c r="N1091" s="7"/>
      <c r="O1091" s="7"/>
      <c r="P1091" s="6" t="s">
        <v>44</v>
      </c>
      <c r="Q1091" s="8" t="s">
        <v>4266</v>
      </c>
      <c r="R1091" t="str">
        <f>HYPERLINK("https://docs.wto.org/imrd/directdoc.asp?DDFDocuments/t/G/TBTN18/BRA781A10.docx", "https://docs.wto.org/imrd/directdoc.asp?DDFDocuments/t/G/TBTN18/BRA781A10.docx")</f>
        <v>https://docs.wto.org/imrd/directdoc.asp?DDFDocuments/t/G/TBTN18/BRA781A10.docx</v>
      </c>
      <c r="S1091" t="str">
        <f>HYPERLINK("https://docs.wto.org/imrd/directdoc.asp?DDFDocuments/u/G/TBTN18/BRA781A10.docx", "https://docs.wto.org/imrd/directdoc.asp?DDFDocuments/u/G/TBTN18/BRA781A10.docx")</f>
        <v>https://docs.wto.org/imrd/directdoc.asp?DDFDocuments/u/G/TBTN18/BRA781A10.docx</v>
      </c>
      <c r="T1091" t="str">
        <f>HYPERLINK("https://docs.wto.org/imrd/directdoc.asp?DDFDocuments/v/G/TBTN18/BRA781A10.docx", "https://docs.wto.org/imrd/directdoc.asp?DDFDocuments/v/G/TBTN18/BRA781A10.docx")</f>
        <v>https://docs.wto.org/imrd/directdoc.asp?DDFDocuments/v/G/TBTN18/BRA781A10.docx</v>
      </c>
      <c r="U1091" t="s">
        <v>64</v>
      </c>
      <c r="V1091" t="s">
        <v>46</v>
      </c>
      <c r="W1091" t="s">
        <v>46</v>
      </c>
      <c r="X1091" t="s">
        <v>46</v>
      </c>
      <c r="Y1091" t="s">
        <v>46</v>
      </c>
      <c r="Z1091" t="s">
        <v>46</v>
      </c>
      <c r="AA1091" t="s">
        <v>46</v>
      </c>
      <c r="AB1091" s="2" t="s">
        <v>43</v>
      </c>
      <c r="AC1091" t="s">
        <v>43</v>
      </c>
      <c r="AD1091" t="s">
        <v>43</v>
      </c>
      <c r="AE1091" t="s">
        <v>43</v>
      </c>
      <c r="AF1091" t="s">
        <v>43</v>
      </c>
      <c r="AG1091" t="s">
        <v>43</v>
      </c>
      <c r="AH1091" s="2" t="s">
        <v>43</v>
      </c>
    </row>
    <row r="1092" spans="1:34" ht="105">
      <c r="A1092" s="6" t="s">
        <v>289</v>
      </c>
      <c r="B1092" s="7">
        <v>46042</v>
      </c>
      <c r="C1092" s="9" t="str">
        <f>HYPERLINK("https://eping.wto.org/en/Search?viewData= G/TBT/N/BRA/1575/Add.1"," G/TBT/N/BRA/1575/Add.1")</f>
        <v xml:space="preserve"> G/TBT/N/BRA/1575/Add.1</v>
      </c>
      <c r="D1092" s="8" t="s">
        <v>4267</v>
      </c>
      <c r="E1092" s="8" t="s">
        <v>4268</v>
      </c>
      <c r="F1092" s="8" t="s">
        <v>1545</v>
      </c>
      <c r="G1092" s="8" t="s">
        <v>43</v>
      </c>
      <c r="H1092" s="8" t="s">
        <v>858</v>
      </c>
      <c r="I1092" s="8" t="s">
        <v>275</v>
      </c>
      <c r="J1092" s="8" t="s">
        <v>4269</v>
      </c>
      <c r="K1092" s="8" t="s">
        <v>860</v>
      </c>
      <c r="L1092" s="6"/>
      <c r="M1092" s="7" t="s">
        <v>43</v>
      </c>
      <c r="N1092" s="7"/>
      <c r="O1092" s="7"/>
      <c r="P1092" s="6" t="s">
        <v>44</v>
      </c>
      <c r="Q1092" s="8" t="s">
        <v>4270</v>
      </c>
      <c r="R1092" t="str">
        <f>HYPERLINK("https://docs.wto.org/imrd/directdoc.asp?DDFDocuments/t/G/TBTN24/BRA1575A1.docx", "https://docs.wto.org/imrd/directdoc.asp?DDFDocuments/t/G/TBTN24/BRA1575A1.docx")</f>
        <v>https://docs.wto.org/imrd/directdoc.asp?DDFDocuments/t/G/TBTN24/BRA1575A1.docx</v>
      </c>
      <c r="S1092" t="str">
        <f>HYPERLINK("https://docs.wto.org/imrd/directdoc.asp?DDFDocuments/u/G/TBTN24/BRA1575A1.docx", "https://docs.wto.org/imrd/directdoc.asp?DDFDocuments/u/G/TBTN24/BRA1575A1.docx")</f>
        <v>https://docs.wto.org/imrd/directdoc.asp?DDFDocuments/u/G/TBTN24/BRA1575A1.docx</v>
      </c>
      <c r="T1092" t="str">
        <f>HYPERLINK("https://docs.wto.org/imrd/directdoc.asp?DDFDocuments/v/G/TBTN24/BRA1575A1.docx", "https://docs.wto.org/imrd/directdoc.asp?DDFDocuments/v/G/TBTN24/BRA1575A1.docx")</f>
        <v>https://docs.wto.org/imrd/directdoc.asp?DDFDocuments/v/G/TBTN24/BRA1575A1.docx</v>
      </c>
      <c r="U1092" t="s">
        <v>64</v>
      </c>
      <c r="V1092" t="s">
        <v>46</v>
      </c>
      <c r="W1092" t="s">
        <v>46</v>
      </c>
      <c r="X1092" t="s">
        <v>46</v>
      </c>
      <c r="Y1092" t="s">
        <v>46</v>
      </c>
      <c r="Z1092" t="s">
        <v>46</v>
      </c>
      <c r="AA1092" t="s">
        <v>46</v>
      </c>
      <c r="AB1092" s="2" t="s">
        <v>43</v>
      </c>
      <c r="AC1092" t="s">
        <v>43</v>
      </c>
      <c r="AD1092" t="s">
        <v>43</v>
      </c>
      <c r="AE1092" t="s">
        <v>43</v>
      </c>
      <c r="AF1092" t="s">
        <v>43</v>
      </c>
      <c r="AG1092" t="s">
        <v>43</v>
      </c>
      <c r="AH1092" s="2" t="s">
        <v>43</v>
      </c>
    </row>
    <row r="1093" spans="1:34" ht="105">
      <c r="A1093" s="6" t="s">
        <v>289</v>
      </c>
      <c r="B1093" s="7">
        <v>46042</v>
      </c>
      <c r="C1093" s="9" t="str">
        <f>HYPERLINK("https://eping.wto.org/en/Search?viewData= G/TBT/N/BRA/1604/Add.1"," G/TBT/N/BRA/1604/Add.1")</f>
        <v xml:space="preserve"> G/TBT/N/BRA/1604/Add.1</v>
      </c>
      <c r="D1093" s="8" t="s">
        <v>4271</v>
      </c>
      <c r="E1093" s="8" t="s">
        <v>4272</v>
      </c>
      <c r="F1093" s="8" t="s">
        <v>4273</v>
      </c>
      <c r="G1093" s="8" t="s">
        <v>43</v>
      </c>
      <c r="H1093" s="8" t="s">
        <v>4274</v>
      </c>
      <c r="I1093" s="8" t="s">
        <v>275</v>
      </c>
      <c r="J1093" s="8" t="s">
        <v>43</v>
      </c>
      <c r="K1093" s="8" t="s">
        <v>43</v>
      </c>
      <c r="L1093" s="6"/>
      <c r="M1093" s="7" t="s">
        <v>43</v>
      </c>
      <c r="N1093" s="7"/>
      <c r="O1093" s="7"/>
      <c r="P1093" s="6" t="s">
        <v>44</v>
      </c>
      <c r="Q1093" s="8" t="s">
        <v>4275</v>
      </c>
      <c r="R1093" t="str">
        <f>HYPERLINK("https://docs.wto.org/imrd/directdoc.asp?DDFDocuments/t/G/TBTN25/BRA1604A1.docx", "https://docs.wto.org/imrd/directdoc.asp?DDFDocuments/t/G/TBTN25/BRA1604A1.docx")</f>
        <v>https://docs.wto.org/imrd/directdoc.asp?DDFDocuments/t/G/TBTN25/BRA1604A1.docx</v>
      </c>
      <c r="S1093" t="str">
        <f>HYPERLINK("https://docs.wto.org/imrd/directdoc.asp?DDFDocuments/u/G/TBTN25/BRA1604A1.docx", "https://docs.wto.org/imrd/directdoc.asp?DDFDocuments/u/G/TBTN25/BRA1604A1.docx")</f>
        <v>https://docs.wto.org/imrd/directdoc.asp?DDFDocuments/u/G/TBTN25/BRA1604A1.docx</v>
      </c>
      <c r="T1093" t="str">
        <f>HYPERLINK("https://docs.wto.org/imrd/directdoc.asp?DDFDocuments/v/G/TBTN25/BRA1604A1.docx", "https://docs.wto.org/imrd/directdoc.asp?DDFDocuments/v/G/TBTN25/BRA1604A1.docx")</f>
        <v>https://docs.wto.org/imrd/directdoc.asp?DDFDocuments/v/G/TBTN25/BRA1604A1.docx</v>
      </c>
      <c r="U1093" t="s">
        <v>46</v>
      </c>
      <c r="V1093" t="s">
        <v>46</v>
      </c>
      <c r="W1093" t="s">
        <v>46</v>
      </c>
      <c r="X1093" t="s">
        <v>46</v>
      </c>
      <c r="Y1093" t="s">
        <v>46</v>
      </c>
      <c r="Z1093" t="s">
        <v>46</v>
      </c>
      <c r="AA1093" t="s">
        <v>46</v>
      </c>
      <c r="AB1093" s="2" t="s">
        <v>43</v>
      </c>
      <c r="AC1093" t="s">
        <v>43</v>
      </c>
      <c r="AD1093" t="s">
        <v>43</v>
      </c>
      <c r="AE1093" t="s">
        <v>43</v>
      </c>
      <c r="AF1093" t="s">
        <v>43</v>
      </c>
      <c r="AG1093" t="s">
        <v>43</v>
      </c>
      <c r="AH1093" s="2" t="s">
        <v>43</v>
      </c>
    </row>
    <row r="1094" spans="1:34" ht="90">
      <c r="A1094" s="6" t="s">
        <v>1603</v>
      </c>
      <c r="B1094" s="7">
        <v>46042</v>
      </c>
      <c r="C1094" s="9" t="str">
        <f>HYPERLINK("https://eping.wto.org/en/Search?viewData= G/SPS/N/ARM/63"," G/SPS/N/ARM/63")</f>
        <v xml:space="preserve"> G/SPS/N/ARM/63</v>
      </c>
      <c r="D1094" s="8" t="s">
        <v>4276</v>
      </c>
      <c r="E1094" s="8" t="s">
        <v>4277</v>
      </c>
      <c r="F1094" s="8" t="s">
        <v>4278</v>
      </c>
      <c r="G1094" s="8" t="s">
        <v>4279</v>
      </c>
      <c r="H1094" s="8" t="s">
        <v>43</v>
      </c>
      <c r="I1094" s="8" t="s">
        <v>58</v>
      </c>
      <c r="J1094" s="8" t="s">
        <v>43</v>
      </c>
      <c r="K1094" s="8" t="s">
        <v>2637</v>
      </c>
      <c r="L1094" s="6" t="s">
        <v>43</v>
      </c>
      <c r="M1094" s="7">
        <v>46070</v>
      </c>
      <c r="N1094" s="7" t="s">
        <v>304</v>
      </c>
      <c r="O1094" s="7" t="s">
        <v>304</v>
      </c>
      <c r="P1094" s="6" t="s">
        <v>62</v>
      </c>
      <c r="Q1094" s="8" t="s">
        <v>4280</v>
      </c>
      <c r="R1094" t="str">
        <f>HYPERLINK("https://docs.wto.org/imrd/directdoc.asp?DDFDocuments/t/G/SPS/NARM63.docx", "https://docs.wto.org/imrd/directdoc.asp?DDFDocuments/t/G/SPS/NARM63.docx")</f>
        <v>https://docs.wto.org/imrd/directdoc.asp?DDFDocuments/t/G/SPS/NARM63.docx</v>
      </c>
      <c r="S1094" t="str">
        <f>HYPERLINK("https://docs.wto.org/imrd/directdoc.asp?DDFDocuments/u/G/SPS/NARM63.docx", "https://docs.wto.org/imrd/directdoc.asp?DDFDocuments/u/G/SPS/NARM63.docx")</f>
        <v>https://docs.wto.org/imrd/directdoc.asp?DDFDocuments/u/G/SPS/NARM63.docx</v>
      </c>
      <c r="T1094" t="str">
        <f>HYPERLINK("https://docs.wto.org/imrd/directdoc.asp?DDFDocuments/v/G/SPS/NARM63.docx", "https://docs.wto.org/imrd/directdoc.asp?DDFDocuments/v/G/SPS/NARM63.docx")</f>
        <v>https://docs.wto.org/imrd/directdoc.asp?DDFDocuments/v/G/SPS/NARM63.docx</v>
      </c>
      <c r="U1094" t="s">
        <v>43</v>
      </c>
      <c r="V1094" t="s">
        <v>43</v>
      </c>
      <c r="W1094" t="s">
        <v>43</v>
      </c>
      <c r="X1094" t="s">
        <v>43</v>
      </c>
      <c r="Y1094" t="s">
        <v>43</v>
      </c>
      <c r="Z1094" t="s">
        <v>43</v>
      </c>
      <c r="AA1094" t="s">
        <v>43</v>
      </c>
      <c r="AB1094" s="2" t="s">
        <v>43</v>
      </c>
      <c r="AC1094" t="s">
        <v>46</v>
      </c>
      <c r="AD1094" t="s">
        <v>46</v>
      </c>
      <c r="AE1094" t="s">
        <v>46</v>
      </c>
      <c r="AF1094" t="s">
        <v>64</v>
      </c>
      <c r="AG1094" t="s">
        <v>99</v>
      </c>
      <c r="AH1094" s="2" t="s">
        <v>43</v>
      </c>
    </row>
    <row r="1095" spans="1:34" ht="90">
      <c r="A1095" s="6" t="s">
        <v>289</v>
      </c>
      <c r="B1095" s="7">
        <v>46042</v>
      </c>
      <c r="C1095" s="9" t="str">
        <f>HYPERLINK("https://eping.wto.org/en/Search?viewData= G/TBT/N/BRA/1580/Add.1"," G/TBT/N/BRA/1580/Add.1")</f>
        <v xml:space="preserve"> G/TBT/N/BRA/1580/Add.1</v>
      </c>
      <c r="D1095" s="8" t="s">
        <v>4281</v>
      </c>
      <c r="E1095" s="8" t="s">
        <v>4282</v>
      </c>
      <c r="F1095" s="8" t="s">
        <v>4283</v>
      </c>
      <c r="G1095" s="8" t="s">
        <v>4284</v>
      </c>
      <c r="H1095" s="8" t="s">
        <v>4285</v>
      </c>
      <c r="I1095" s="8" t="s">
        <v>275</v>
      </c>
      <c r="J1095" s="8" t="s">
        <v>4286</v>
      </c>
      <c r="K1095" s="8" t="s">
        <v>860</v>
      </c>
      <c r="L1095" s="6"/>
      <c r="M1095" s="7" t="s">
        <v>43</v>
      </c>
      <c r="N1095" s="7"/>
      <c r="O1095" s="7"/>
      <c r="P1095" s="6" t="s">
        <v>44</v>
      </c>
      <c r="Q1095" s="6"/>
      <c r="R1095" t="str">
        <f>HYPERLINK("https://docs.wto.org/imrd/directdoc.asp?DDFDocuments/t/G/TBTN24/BRA1580A1.docx", "https://docs.wto.org/imrd/directdoc.asp?DDFDocuments/t/G/TBTN24/BRA1580A1.docx")</f>
        <v>https://docs.wto.org/imrd/directdoc.asp?DDFDocuments/t/G/TBTN24/BRA1580A1.docx</v>
      </c>
      <c r="S1095" t="str">
        <f>HYPERLINK("https://docs.wto.org/imrd/directdoc.asp?DDFDocuments/u/G/TBTN24/BRA1580A1.docx", "https://docs.wto.org/imrd/directdoc.asp?DDFDocuments/u/G/TBTN24/BRA1580A1.docx")</f>
        <v>https://docs.wto.org/imrd/directdoc.asp?DDFDocuments/u/G/TBTN24/BRA1580A1.docx</v>
      </c>
      <c r="T1095" t="str">
        <f>HYPERLINK("https://docs.wto.org/imrd/directdoc.asp?DDFDocuments/v/G/TBTN24/BRA1580A1.docx", "https://docs.wto.org/imrd/directdoc.asp?DDFDocuments/v/G/TBTN24/BRA1580A1.docx")</f>
        <v>https://docs.wto.org/imrd/directdoc.asp?DDFDocuments/v/G/TBTN24/BRA1580A1.docx</v>
      </c>
      <c r="U1095" t="s">
        <v>64</v>
      </c>
      <c r="V1095" t="s">
        <v>46</v>
      </c>
      <c r="W1095" t="s">
        <v>46</v>
      </c>
      <c r="X1095" t="s">
        <v>46</v>
      </c>
      <c r="Y1095" t="s">
        <v>46</v>
      </c>
      <c r="Z1095" t="s">
        <v>46</v>
      </c>
      <c r="AA1095" t="s">
        <v>46</v>
      </c>
      <c r="AB1095" s="2" t="s">
        <v>43</v>
      </c>
      <c r="AC1095" t="s">
        <v>43</v>
      </c>
      <c r="AD1095" t="s">
        <v>43</v>
      </c>
      <c r="AE1095" t="s">
        <v>43</v>
      </c>
      <c r="AF1095" t="s">
        <v>43</v>
      </c>
      <c r="AG1095" t="s">
        <v>43</v>
      </c>
      <c r="AH1095" s="2" t="s">
        <v>43</v>
      </c>
    </row>
    <row r="1096" spans="1:34" ht="45">
      <c r="A1096" s="6" t="s">
        <v>488</v>
      </c>
      <c r="B1096" s="7">
        <v>46042</v>
      </c>
      <c r="C1096" s="9" t="str">
        <f>HYPERLINK("https://eping.wto.org/en/Search?viewData= G/TBT/N/ZAF/269"," G/TBT/N/ZAF/269")</f>
        <v xml:space="preserve"> G/TBT/N/ZAF/269</v>
      </c>
      <c r="D1096" s="8" t="s">
        <v>4287</v>
      </c>
      <c r="E1096" s="8" t="s">
        <v>4288</v>
      </c>
      <c r="F1096" s="8" t="s">
        <v>4289</v>
      </c>
      <c r="G1096" s="8" t="s">
        <v>43</v>
      </c>
      <c r="H1096" s="8" t="s">
        <v>43</v>
      </c>
      <c r="I1096" s="8" t="s">
        <v>4290</v>
      </c>
      <c r="J1096" s="8" t="s">
        <v>43</v>
      </c>
      <c r="K1096" s="8" t="s">
        <v>240</v>
      </c>
      <c r="L1096" s="6"/>
      <c r="M1096" s="7">
        <v>46102</v>
      </c>
      <c r="N1096" s="7" t="s">
        <v>79</v>
      </c>
      <c r="O1096" s="7" t="s">
        <v>79</v>
      </c>
      <c r="P1096" s="6" t="s">
        <v>62</v>
      </c>
      <c r="Q1096" s="8" t="s">
        <v>4291</v>
      </c>
      <c r="R1096" t="str">
        <f>HYPERLINK("https://docs.wto.org/imrd/directdoc.asp?DDFDocuments/t/G/TBTN26/ZAF269.docx", "https://docs.wto.org/imrd/directdoc.asp?DDFDocuments/t/G/TBTN26/ZAF269.docx")</f>
        <v>https://docs.wto.org/imrd/directdoc.asp?DDFDocuments/t/G/TBTN26/ZAF269.docx</v>
      </c>
      <c r="S1096" t="str">
        <f>HYPERLINK("https://docs.wto.org/imrd/directdoc.asp?DDFDocuments/u/G/TBTN26/ZAF269.docx", "https://docs.wto.org/imrd/directdoc.asp?DDFDocuments/u/G/TBTN26/ZAF269.docx")</f>
        <v>https://docs.wto.org/imrd/directdoc.asp?DDFDocuments/u/G/TBTN26/ZAF269.docx</v>
      </c>
      <c r="T1096" t="str">
        <f>HYPERLINK("https://docs.wto.org/imrd/directdoc.asp?DDFDocuments/v/G/TBTN26/ZAF269.docx", "https://docs.wto.org/imrd/directdoc.asp?DDFDocuments/v/G/TBTN26/ZAF269.docx")</f>
        <v>https://docs.wto.org/imrd/directdoc.asp?DDFDocuments/v/G/TBTN26/ZAF269.docx</v>
      </c>
      <c r="U1096" t="s">
        <v>64</v>
      </c>
      <c r="V1096" t="s">
        <v>46</v>
      </c>
      <c r="W1096" t="s">
        <v>46</v>
      </c>
      <c r="X1096" t="s">
        <v>46</v>
      </c>
      <c r="Y1096" t="s">
        <v>46</v>
      </c>
      <c r="Z1096" t="s">
        <v>46</v>
      </c>
      <c r="AA1096" t="s">
        <v>46</v>
      </c>
      <c r="AB1096" s="2" t="s">
        <v>4292</v>
      </c>
      <c r="AC1096" t="s">
        <v>43</v>
      </c>
      <c r="AD1096" t="s">
        <v>43</v>
      </c>
      <c r="AE1096" t="s">
        <v>43</v>
      </c>
      <c r="AF1096" t="s">
        <v>43</v>
      </c>
      <c r="AG1096" t="s">
        <v>43</v>
      </c>
      <c r="AH1096" s="2" t="s">
        <v>43</v>
      </c>
    </row>
    <row r="1097" spans="1:34" ht="135">
      <c r="A1097" s="6" t="s">
        <v>338</v>
      </c>
      <c r="B1097" s="7">
        <v>46042</v>
      </c>
      <c r="C1097" s="9" t="str">
        <f>HYPERLINK("https://eping.wto.org/en/Search?viewData= G/SPS/N/SAU/611"," G/SPS/N/SAU/611")</f>
        <v xml:space="preserve"> G/SPS/N/SAU/611</v>
      </c>
      <c r="D1097" s="8" t="s">
        <v>4293</v>
      </c>
      <c r="E1097" s="8" t="s">
        <v>4294</v>
      </c>
      <c r="F1097" s="8" t="s">
        <v>1682</v>
      </c>
      <c r="G1097" s="8" t="s">
        <v>43</v>
      </c>
      <c r="H1097" s="8" t="s">
        <v>43</v>
      </c>
      <c r="I1097" s="8" t="s">
        <v>361</v>
      </c>
      <c r="J1097" s="8" t="s">
        <v>43</v>
      </c>
      <c r="K1097" s="8" t="s">
        <v>4295</v>
      </c>
      <c r="L1097" s="6" t="s">
        <v>1684</v>
      </c>
      <c r="M1097" s="7" t="s">
        <v>43</v>
      </c>
      <c r="N1097" s="7"/>
      <c r="O1097" s="7">
        <v>46033</v>
      </c>
      <c r="P1097" s="6" t="s">
        <v>107</v>
      </c>
      <c r="Q1097" s="8" t="s">
        <v>4296</v>
      </c>
      <c r="R1097" t="str">
        <f>HYPERLINK("https://docs.wto.org/imrd/directdoc.asp?DDFDocuments/t/G/SPS/NSAU611.docx", "https://docs.wto.org/imrd/directdoc.asp?DDFDocuments/t/G/SPS/NSAU611.docx")</f>
        <v>https://docs.wto.org/imrd/directdoc.asp?DDFDocuments/t/G/SPS/NSAU611.docx</v>
      </c>
      <c r="S1097" t="str">
        <f>HYPERLINK("https://docs.wto.org/imrd/directdoc.asp?DDFDocuments/u/G/SPS/NSAU611.docx", "https://docs.wto.org/imrd/directdoc.asp?DDFDocuments/u/G/SPS/NSAU611.docx")</f>
        <v>https://docs.wto.org/imrd/directdoc.asp?DDFDocuments/u/G/SPS/NSAU611.docx</v>
      </c>
      <c r="T1097" t="str">
        <f>HYPERLINK("https://docs.wto.org/imrd/directdoc.asp?DDFDocuments/v/G/SPS/NSAU611.docx", "https://docs.wto.org/imrd/directdoc.asp?DDFDocuments/v/G/SPS/NSAU611.docx")</f>
        <v>https://docs.wto.org/imrd/directdoc.asp?DDFDocuments/v/G/SPS/NSAU611.docx</v>
      </c>
      <c r="U1097" t="s">
        <v>43</v>
      </c>
      <c r="V1097" t="s">
        <v>43</v>
      </c>
      <c r="W1097" t="s">
        <v>43</v>
      </c>
      <c r="X1097" t="s">
        <v>43</v>
      </c>
      <c r="Y1097" t="s">
        <v>43</v>
      </c>
      <c r="Z1097" t="s">
        <v>43</v>
      </c>
      <c r="AA1097" t="s">
        <v>43</v>
      </c>
      <c r="AB1097" s="2" t="s">
        <v>43</v>
      </c>
      <c r="AC1097" t="s">
        <v>46</v>
      </c>
      <c r="AD1097" t="s">
        <v>64</v>
      </c>
      <c r="AE1097" t="s">
        <v>46</v>
      </c>
      <c r="AF1097" t="s">
        <v>46</v>
      </c>
      <c r="AG1097" t="s">
        <v>64</v>
      </c>
      <c r="AH1097" s="2" t="s">
        <v>43</v>
      </c>
    </row>
    <row r="1098" spans="1:34" ht="345">
      <c r="A1098" s="6" t="s">
        <v>356</v>
      </c>
      <c r="B1098" s="7">
        <v>46042</v>
      </c>
      <c r="C1098" s="9" t="str">
        <f>HYPERLINK("https://eping.wto.org/en/Search?viewData= G/SPS/N/EU/906"," G/SPS/N/EU/906")</f>
        <v xml:space="preserve"> G/SPS/N/EU/906</v>
      </c>
      <c r="D1098" s="8" t="s">
        <v>4297</v>
      </c>
      <c r="E1098" s="8" t="s">
        <v>4298</v>
      </c>
      <c r="F1098" s="8" t="s">
        <v>4299</v>
      </c>
      <c r="G1098" s="8" t="s">
        <v>43</v>
      </c>
      <c r="H1098" s="8" t="s">
        <v>43</v>
      </c>
      <c r="I1098" s="8" t="s">
        <v>529</v>
      </c>
      <c r="J1098" s="8" t="s">
        <v>43</v>
      </c>
      <c r="K1098" s="8" t="s">
        <v>749</v>
      </c>
      <c r="L1098" s="6"/>
      <c r="M1098" s="7">
        <v>46102</v>
      </c>
      <c r="N1098" s="7" t="s">
        <v>304</v>
      </c>
      <c r="O1098" s="7" t="s">
        <v>4300</v>
      </c>
      <c r="P1098" s="6" t="s">
        <v>62</v>
      </c>
      <c r="Q1098" s="8" t="s">
        <v>4301</v>
      </c>
      <c r="R1098" t="str">
        <f>HYPERLINK("https://docs.wto.org/imrd/directdoc.asp?DDFDocuments/t/G/SPS/NEU906.docx", "https://docs.wto.org/imrd/directdoc.asp?DDFDocuments/t/G/SPS/NEU906.docx")</f>
        <v>https://docs.wto.org/imrd/directdoc.asp?DDFDocuments/t/G/SPS/NEU906.docx</v>
      </c>
      <c r="S1098" t="str">
        <f>HYPERLINK("https://docs.wto.org/imrd/directdoc.asp?DDFDocuments/u/G/SPS/NEU906.docx", "https://docs.wto.org/imrd/directdoc.asp?DDFDocuments/u/G/SPS/NEU906.docx")</f>
        <v>https://docs.wto.org/imrd/directdoc.asp?DDFDocuments/u/G/SPS/NEU906.docx</v>
      </c>
      <c r="T1098" t="str">
        <f>HYPERLINK("https://docs.wto.org/imrd/directdoc.asp?DDFDocuments/v/G/SPS/NEU906.docx", "https://docs.wto.org/imrd/directdoc.asp?DDFDocuments/v/G/SPS/NEU906.docx")</f>
        <v>https://docs.wto.org/imrd/directdoc.asp?DDFDocuments/v/G/SPS/NEU906.docx</v>
      </c>
      <c r="U1098" t="s">
        <v>43</v>
      </c>
      <c r="V1098" t="s">
        <v>43</v>
      </c>
      <c r="W1098" t="s">
        <v>43</v>
      </c>
      <c r="X1098" t="s">
        <v>43</v>
      </c>
      <c r="Y1098" t="s">
        <v>43</v>
      </c>
      <c r="Z1098" t="s">
        <v>43</v>
      </c>
      <c r="AA1098" t="s">
        <v>43</v>
      </c>
      <c r="AB1098" s="2" t="s">
        <v>43</v>
      </c>
      <c r="AC1098" t="s">
        <v>46</v>
      </c>
      <c r="AD1098" t="s">
        <v>46</v>
      </c>
      <c r="AE1098" t="s">
        <v>46</v>
      </c>
      <c r="AF1098" t="s">
        <v>64</v>
      </c>
      <c r="AG1098" t="s">
        <v>99</v>
      </c>
      <c r="AH1098" s="2" t="s">
        <v>43</v>
      </c>
    </row>
    <row r="1099" spans="1:34" ht="105">
      <c r="A1099" s="6" t="s">
        <v>289</v>
      </c>
      <c r="B1099" s="7">
        <v>46042</v>
      </c>
      <c r="C1099" s="9" t="str">
        <f>HYPERLINK("https://eping.wto.org/en/Search?viewData= G/TBT/N/BRA/1577/Add.1"," G/TBT/N/BRA/1577/Add.1")</f>
        <v xml:space="preserve"> G/TBT/N/BRA/1577/Add.1</v>
      </c>
      <c r="D1099" s="8" t="s">
        <v>4302</v>
      </c>
      <c r="E1099" s="8" t="s">
        <v>4303</v>
      </c>
      <c r="F1099" s="8" t="s">
        <v>1545</v>
      </c>
      <c r="G1099" s="8" t="s">
        <v>43</v>
      </c>
      <c r="H1099" s="8" t="s">
        <v>858</v>
      </c>
      <c r="I1099" s="8" t="s">
        <v>275</v>
      </c>
      <c r="J1099" s="8" t="s">
        <v>4269</v>
      </c>
      <c r="K1099" s="8" t="s">
        <v>860</v>
      </c>
      <c r="L1099" s="6"/>
      <c r="M1099" s="7" t="s">
        <v>43</v>
      </c>
      <c r="N1099" s="7"/>
      <c r="O1099" s="7"/>
      <c r="P1099" s="6" t="s">
        <v>44</v>
      </c>
      <c r="Q1099" s="6"/>
      <c r="R1099" t="str">
        <f>HYPERLINK("https://docs.wto.org/imrd/directdoc.asp?DDFDocuments/t/G/TBTN24/BRA1577A1.docx", "https://docs.wto.org/imrd/directdoc.asp?DDFDocuments/t/G/TBTN24/BRA1577A1.docx")</f>
        <v>https://docs.wto.org/imrd/directdoc.asp?DDFDocuments/t/G/TBTN24/BRA1577A1.docx</v>
      </c>
      <c r="S1099" t="str">
        <f>HYPERLINK("https://docs.wto.org/imrd/directdoc.asp?DDFDocuments/u/G/TBTN24/BRA1577A1.docx", "https://docs.wto.org/imrd/directdoc.asp?DDFDocuments/u/G/TBTN24/BRA1577A1.docx")</f>
        <v>https://docs.wto.org/imrd/directdoc.asp?DDFDocuments/u/G/TBTN24/BRA1577A1.docx</v>
      </c>
      <c r="T1099" t="str">
        <f>HYPERLINK("https://docs.wto.org/imrd/directdoc.asp?DDFDocuments/v/G/TBTN24/BRA1577A1.docx", "https://docs.wto.org/imrd/directdoc.asp?DDFDocuments/v/G/TBTN24/BRA1577A1.docx")</f>
        <v>https://docs.wto.org/imrd/directdoc.asp?DDFDocuments/v/G/TBTN24/BRA1577A1.docx</v>
      </c>
      <c r="U1099" t="s">
        <v>64</v>
      </c>
      <c r="V1099" t="s">
        <v>46</v>
      </c>
      <c r="W1099" t="s">
        <v>46</v>
      </c>
      <c r="X1099" t="s">
        <v>46</v>
      </c>
      <c r="Y1099" t="s">
        <v>46</v>
      </c>
      <c r="Z1099" t="s">
        <v>46</v>
      </c>
      <c r="AA1099" t="s">
        <v>46</v>
      </c>
      <c r="AB1099" s="2" t="s">
        <v>43</v>
      </c>
      <c r="AC1099" t="s">
        <v>43</v>
      </c>
      <c r="AD1099" t="s">
        <v>43</v>
      </c>
      <c r="AE1099" t="s">
        <v>43</v>
      </c>
      <c r="AF1099" t="s">
        <v>43</v>
      </c>
      <c r="AG1099" t="s">
        <v>43</v>
      </c>
      <c r="AH1099" s="2" t="s">
        <v>43</v>
      </c>
    </row>
    <row r="1100" spans="1:34" ht="90">
      <c r="A1100" s="6" t="s">
        <v>4304</v>
      </c>
      <c r="B1100" s="7">
        <v>46042</v>
      </c>
      <c r="C1100" s="9" t="str">
        <f>HYPERLINK("https://eping.wto.org/en/Search?viewData= G/SPS/N/MAR/117"," G/SPS/N/MAR/117")</f>
        <v xml:space="preserve"> G/SPS/N/MAR/117</v>
      </c>
      <c r="D1100" s="8" t="s">
        <v>4305</v>
      </c>
      <c r="E1100" s="8" t="s">
        <v>4306</v>
      </c>
      <c r="F1100" s="8" t="s">
        <v>4307</v>
      </c>
      <c r="G1100" s="8" t="s">
        <v>43</v>
      </c>
      <c r="H1100" s="8" t="s">
        <v>43</v>
      </c>
      <c r="I1100" s="8" t="s">
        <v>58</v>
      </c>
      <c r="J1100" s="8" t="s">
        <v>43</v>
      </c>
      <c r="K1100" s="8" t="s">
        <v>2405</v>
      </c>
      <c r="L1100" s="6" t="s">
        <v>43</v>
      </c>
      <c r="M1100" s="7">
        <v>46102</v>
      </c>
      <c r="N1100" s="7" t="s">
        <v>79</v>
      </c>
      <c r="O1100" s="7" t="s">
        <v>114</v>
      </c>
      <c r="P1100" s="6" t="s">
        <v>62</v>
      </c>
      <c r="Q1100" s="8" t="s">
        <v>4308</v>
      </c>
      <c r="R1100" t="str">
        <f>HYPERLINK("https://docs.wto.org/imrd/directdoc.asp?DDFDocuments/t/G/SPS/NMAR117.docx", "https://docs.wto.org/imrd/directdoc.asp?DDFDocuments/t/G/SPS/NMAR117.docx")</f>
        <v>https://docs.wto.org/imrd/directdoc.asp?DDFDocuments/t/G/SPS/NMAR117.docx</v>
      </c>
      <c r="S1100" t="str">
        <f>HYPERLINK("https://docs.wto.org/imrd/directdoc.asp?DDFDocuments/u/G/SPS/NMAR117.docx", "https://docs.wto.org/imrd/directdoc.asp?DDFDocuments/u/G/SPS/NMAR117.docx")</f>
        <v>https://docs.wto.org/imrd/directdoc.asp?DDFDocuments/u/G/SPS/NMAR117.docx</v>
      </c>
      <c r="T1100" t="str">
        <f>HYPERLINK("https://docs.wto.org/imrd/directdoc.asp?DDFDocuments/v/G/SPS/NMAR117.docx", "https://docs.wto.org/imrd/directdoc.asp?DDFDocuments/v/G/SPS/NMAR117.docx")</f>
        <v>https://docs.wto.org/imrd/directdoc.asp?DDFDocuments/v/G/SPS/NMAR117.docx</v>
      </c>
      <c r="U1100" t="s">
        <v>43</v>
      </c>
      <c r="V1100" t="s">
        <v>43</v>
      </c>
      <c r="W1100" t="s">
        <v>43</v>
      </c>
      <c r="X1100" t="s">
        <v>43</v>
      </c>
      <c r="Y1100" t="s">
        <v>43</v>
      </c>
      <c r="Z1100" t="s">
        <v>43</v>
      </c>
      <c r="AA1100" t="s">
        <v>43</v>
      </c>
      <c r="AB1100" s="2" t="s">
        <v>43</v>
      </c>
      <c r="AC1100" t="s">
        <v>46</v>
      </c>
      <c r="AD1100" t="s">
        <v>46</v>
      </c>
      <c r="AE1100" t="s">
        <v>46</v>
      </c>
      <c r="AF1100" t="s">
        <v>64</v>
      </c>
      <c r="AG1100" t="s">
        <v>99</v>
      </c>
      <c r="AH1100" s="2" t="s">
        <v>43</v>
      </c>
    </row>
    <row r="1101" spans="1:34" ht="255">
      <c r="A1101" s="6" t="s">
        <v>303</v>
      </c>
      <c r="B1101" s="7">
        <v>46042</v>
      </c>
      <c r="C1101" s="9" t="str">
        <f>HYPERLINK("https://eping.wto.org/en/Search?viewData= G/SPS/N/KOR/248/Add.26"," G/SPS/N/KOR/248/Add.26")</f>
        <v xml:space="preserve"> G/SPS/N/KOR/248/Add.26</v>
      </c>
      <c r="D1101" s="8" t="s">
        <v>4309</v>
      </c>
      <c r="E1101" s="8" t="s">
        <v>4310</v>
      </c>
      <c r="F1101" s="8" t="s">
        <v>4311</v>
      </c>
      <c r="G1101" s="8" t="s">
        <v>1710</v>
      </c>
      <c r="H1101" s="8" t="s">
        <v>43</v>
      </c>
      <c r="I1101" s="8" t="s">
        <v>43</v>
      </c>
      <c r="J1101" s="8"/>
      <c r="K1101" s="8" t="s">
        <v>4312</v>
      </c>
      <c r="L1101" s="6"/>
      <c r="M1101" s="7" t="s">
        <v>43</v>
      </c>
      <c r="N1101" s="7"/>
      <c r="O1101" s="7"/>
      <c r="P1101" s="6" t="s">
        <v>72</v>
      </c>
      <c r="Q1101" s="8" t="s">
        <v>4313</v>
      </c>
      <c r="R1101" t="str">
        <f>HYPERLINK("https://docs.wto.org/imrd/directdoc.asp?DDFDocuments/t/G/SPS/NKOR248A26.docx", "https://docs.wto.org/imrd/directdoc.asp?DDFDocuments/t/G/SPS/NKOR248A26.docx")</f>
        <v>https://docs.wto.org/imrd/directdoc.asp?DDFDocuments/t/G/SPS/NKOR248A26.docx</v>
      </c>
      <c r="S1101" t="str">
        <f>HYPERLINK("https://docs.wto.org/imrd/directdoc.asp?DDFDocuments/u/G/SPS/NKOR248A26.docx", "https://docs.wto.org/imrd/directdoc.asp?DDFDocuments/u/G/SPS/NKOR248A26.docx")</f>
        <v>https://docs.wto.org/imrd/directdoc.asp?DDFDocuments/u/G/SPS/NKOR248A26.docx</v>
      </c>
      <c r="T1101" t="str">
        <f>HYPERLINK("https://docs.wto.org/imrd/directdoc.asp?DDFDocuments/v/G/SPS/NKOR248A26.docx", "https://docs.wto.org/imrd/directdoc.asp?DDFDocuments/v/G/SPS/NKOR248A26.docx")</f>
        <v>https://docs.wto.org/imrd/directdoc.asp?DDFDocuments/v/G/SPS/NKOR248A26.docx</v>
      </c>
      <c r="U1101" t="s">
        <v>43</v>
      </c>
      <c r="V1101" t="s">
        <v>43</v>
      </c>
      <c r="W1101" t="s">
        <v>43</v>
      </c>
      <c r="X1101" t="s">
        <v>43</v>
      </c>
      <c r="Y1101" t="s">
        <v>43</v>
      </c>
      <c r="Z1101" t="s">
        <v>43</v>
      </c>
      <c r="AA1101" t="s">
        <v>43</v>
      </c>
      <c r="AB1101" s="2" t="s">
        <v>43</v>
      </c>
      <c r="AC1101" t="s">
        <v>43</v>
      </c>
      <c r="AD1101" t="s">
        <v>43</v>
      </c>
      <c r="AE1101" t="s">
        <v>43</v>
      </c>
      <c r="AF1101" t="s">
        <v>43</v>
      </c>
      <c r="AG1101" t="s">
        <v>43</v>
      </c>
      <c r="AH1101" s="2" t="s">
        <v>43</v>
      </c>
    </row>
    <row r="1102" spans="1:34" ht="120">
      <c r="A1102" s="6" t="s">
        <v>146</v>
      </c>
      <c r="B1102" s="7">
        <v>46042</v>
      </c>
      <c r="C1102" s="9" t="str">
        <f>HYPERLINK("https://eping.wto.org/en/Search?viewData= G/TBT/N/CHL/779"," G/TBT/N/CHL/779")</f>
        <v xml:space="preserve"> G/TBT/N/CHL/779</v>
      </c>
      <c r="D1102" s="8" t="s">
        <v>4314</v>
      </c>
      <c r="E1102" s="8" t="s">
        <v>4315</v>
      </c>
      <c r="F1102" s="8" t="s">
        <v>1741</v>
      </c>
      <c r="G1102" s="8" t="s">
        <v>43</v>
      </c>
      <c r="H1102" s="8" t="s">
        <v>4316</v>
      </c>
      <c r="I1102" s="8" t="s">
        <v>275</v>
      </c>
      <c r="J1102" s="8" t="s">
        <v>43</v>
      </c>
      <c r="K1102" s="8" t="s">
        <v>43</v>
      </c>
      <c r="L1102" s="6"/>
      <c r="M1102" s="7">
        <v>46102</v>
      </c>
      <c r="N1102" s="7" t="s">
        <v>79</v>
      </c>
      <c r="O1102" s="7" t="s">
        <v>79</v>
      </c>
      <c r="P1102" s="6" t="s">
        <v>62</v>
      </c>
      <c r="Q1102" s="8" t="s">
        <v>4317</v>
      </c>
      <c r="R1102" t="str">
        <f>HYPERLINK("https://docs.wto.org/imrd/directdoc.asp?DDFDocuments/t/G/TBTN26/CHL779.docx", "https://docs.wto.org/imrd/directdoc.asp?DDFDocuments/t/G/TBTN26/CHL779.docx")</f>
        <v>https://docs.wto.org/imrd/directdoc.asp?DDFDocuments/t/G/TBTN26/CHL779.docx</v>
      </c>
      <c r="S1102" t="str">
        <f>HYPERLINK("https://docs.wto.org/imrd/directdoc.asp?DDFDocuments/u/G/TBTN26/CHL779.docx", "https://docs.wto.org/imrd/directdoc.asp?DDFDocuments/u/G/TBTN26/CHL779.docx")</f>
        <v>https://docs.wto.org/imrd/directdoc.asp?DDFDocuments/u/G/TBTN26/CHL779.docx</v>
      </c>
      <c r="T1102" t="str">
        <f>HYPERLINK("https://docs.wto.org/imrd/directdoc.asp?DDFDocuments/v/G/TBTN26/CHL779.docx", "https://docs.wto.org/imrd/directdoc.asp?DDFDocuments/v/G/TBTN26/CHL779.docx")</f>
        <v>https://docs.wto.org/imrd/directdoc.asp?DDFDocuments/v/G/TBTN26/CHL779.docx</v>
      </c>
      <c r="U1102" t="s">
        <v>64</v>
      </c>
      <c r="V1102" t="s">
        <v>46</v>
      </c>
      <c r="W1102" t="s">
        <v>46</v>
      </c>
      <c r="X1102" t="s">
        <v>46</v>
      </c>
      <c r="Y1102" t="s">
        <v>46</v>
      </c>
      <c r="Z1102" t="s">
        <v>46</v>
      </c>
      <c r="AA1102" t="s">
        <v>46</v>
      </c>
      <c r="AB1102" s="2" t="s">
        <v>4318</v>
      </c>
      <c r="AC1102" t="s">
        <v>43</v>
      </c>
      <c r="AD1102" t="s">
        <v>43</v>
      </c>
      <c r="AE1102" t="s">
        <v>43</v>
      </c>
      <c r="AF1102" t="s">
        <v>43</v>
      </c>
      <c r="AG1102" t="s">
        <v>43</v>
      </c>
      <c r="AH1102" s="2" t="s">
        <v>43</v>
      </c>
    </row>
    <row r="1103" spans="1:34" ht="90">
      <c r="A1103" s="6" t="s">
        <v>356</v>
      </c>
      <c r="B1103" s="7">
        <v>46041</v>
      </c>
      <c r="C1103" s="9" t="str">
        <f>HYPERLINK("https://eping.wto.org/en/Search?viewData= G/SPS/N/EU/905"," G/SPS/N/EU/905")</f>
        <v xml:space="preserve"> G/SPS/N/EU/905</v>
      </c>
      <c r="D1103" s="8" t="s">
        <v>4319</v>
      </c>
      <c r="E1103" s="8" t="s">
        <v>4320</v>
      </c>
      <c r="F1103" s="8" t="s">
        <v>359</v>
      </c>
      <c r="G1103" s="8" t="s">
        <v>156</v>
      </c>
      <c r="H1103" s="8" t="s">
        <v>43</v>
      </c>
      <c r="I1103" s="8" t="s">
        <v>361</v>
      </c>
      <c r="J1103" s="8" t="s">
        <v>43</v>
      </c>
      <c r="K1103" s="8" t="s">
        <v>1488</v>
      </c>
      <c r="L1103" s="6"/>
      <c r="M1103" s="7" t="s">
        <v>43</v>
      </c>
      <c r="N1103" s="7">
        <v>46009</v>
      </c>
      <c r="O1103" s="7" t="s">
        <v>1184</v>
      </c>
      <c r="P1103" s="6" t="s">
        <v>62</v>
      </c>
      <c r="Q1103" s="8" t="s">
        <v>4321</v>
      </c>
      <c r="R1103" t="str">
        <f>HYPERLINK("https://docs.wto.org/imrd/directdoc.asp?DDFDocuments/t/G/SPS/NEU905.docx", "https://docs.wto.org/imrd/directdoc.asp?DDFDocuments/t/G/SPS/NEU905.docx")</f>
        <v>https://docs.wto.org/imrd/directdoc.asp?DDFDocuments/t/G/SPS/NEU905.docx</v>
      </c>
      <c r="S1103" t="str">
        <f>HYPERLINK("https://docs.wto.org/imrd/directdoc.asp?DDFDocuments/u/G/SPS/NEU905.docx", "https://docs.wto.org/imrd/directdoc.asp?DDFDocuments/u/G/SPS/NEU905.docx")</f>
        <v>https://docs.wto.org/imrd/directdoc.asp?DDFDocuments/u/G/SPS/NEU905.docx</v>
      </c>
      <c r="T1103" t="str">
        <f>HYPERLINK("https://docs.wto.org/imrd/directdoc.asp?DDFDocuments/v/G/SPS/NEU905.docx", "https://docs.wto.org/imrd/directdoc.asp?DDFDocuments/v/G/SPS/NEU905.docx")</f>
        <v>https://docs.wto.org/imrd/directdoc.asp?DDFDocuments/v/G/SPS/NEU905.docx</v>
      </c>
      <c r="U1103" t="s">
        <v>43</v>
      </c>
      <c r="V1103" t="s">
        <v>43</v>
      </c>
      <c r="W1103" t="s">
        <v>43</v>
      </c>
      <c r="X1103" t="s">
        <v>43</v>
      </c>
      <c r="Y1103" t="s">
        <v>43</v>
      </c>
      <c r="Z1103" t="s">
        <v>43</v>
      </c>
      <c r="AA1103" t="s">
        <v>43</v>
      </c>
      <c r="AB1103" s="2" t="s">
        <v>43</v>
      </c>
      <c r="AC1103" t="s">
        <v>64</v>
      </c>
      <c r="AD1103" t="s">
        <v>46</v>
      </c>
      <c r="AE1103" t="s">
        <v>46</v>
      </c>
      <c r="AF1103" t="s">
        <v>46</v>
      </c>
      <c r="AG1103" t="s">
        <v>64</v>
      </c>
      <c r="AH1103" s="2" t="s">
        <v>43</v>
      </c>
    </row>
    <row r="1104" spans="1:34" ht="300">
      <c r="A1104" s="6" t="s">
        <v>356</v>
      </c>
      <c r="B1104" s="7">
        <v>46041</v>
      </c>
      <c r="C1104" s="9" t="str">
        <f>HYPERLINK("https://eping.wto.org/en/Search?viewData= G/TBT/N/EU/1185"," G/TBT/N/EU/1185")</f>
        <v xml:space="preserve"> G/TBT/N/EU/1185</v>
      </c>
      <c r="D1104" s="8" t="s">
        <v>4322</v>
      </c>
      <c r="E1104" s="8" t="s">
        <v>4323</v>
      </c>
      <c r="F1104" s="8" t="s">
        <v>4324</v>
      </c>
      <c r="G1104" s="8" t="s">
        <v>43</v>
      </c>
      <c r="H1104" s="8" t="s">
        <v>43</v>
      </c>
      <c r="I1104" s="8" t="s">
        <v>275</v>
      </c>
      <c r="J1104" s="8" t="s">
        <v>4325</v>
      </c>
      <c r="K1104" s="8" t="s">
        <v>350</v>
      </c>
      <c r="L1104" s="6"/>
      <c r="M1104" s="7">
        <v>46101</v>
      </c>
      <c r="N1104" s="7" t="s">
        <v>4326</v>
      </c>
      <c r="O1104" s="7" t="s">
        <v>4327</v>
      </c>
      <c r="P1104" s="6" t="s">
        <v>62</v>
      </c>
      <c r="Q1104" s="8" t="s">
        <v>4328</v>
      </c>
      <c r="R1104" t="str">
        <f>HYPERLINK("https://docs.wto.org/imrd/directdoc.asp?DDFDocuments/t/G/TBTN26/EU1185.docx", "https://docs.wto.org/imrd/directdoc.asp?DDFDocuments/t/G/TBTN26/EU1185.docx")</f>
        <v>https://docs.wto.org/imrd/directdoc.asp?DDFDocuments/t/G/TBTN26/EU1185.docx</v>
      </c>
      <c r="S1104" t="str">
        <f>HYPERLINK("https://docs.wto.org/imrd/directdoc.asp?DDFDocuments/u/G/TBTN26/EU1185.docx", "https://docs.wto.org/imrd/directdoc.asp?DDFDocuments/u/G/TBTN26/EU1185.docx")</f>
        <v>https://docs.wto.org/imrd/directdoc.asp?DDFDocuments/u/G/TBTN26/EU1185.docx</v>
      </c>
      <c r="T1104" t="str">
        <f>HYPERLINK("https://docs.wto.org/imrd/directdoc.asp?DDFDocuments/v/G/TBTN26/EU1185.docx", "https://docs.wto.org/imrd/directdoc.asp?DDFDocuments/v/G/TBTN26/EU1185.docx")</f>
        <v>https://docs.wto.org/imrd/directdoc.asp?DDFDocuments/v/G/TBTN26/EU1185.docx</v>
      </c>
      <c r="U1104" t="s">
        <v>64</v>
      </c>
      <c r="V1104" t="s">
        <v>46</v>
      </c>
      <c r="W1104" t="s">
        <v>64</v>
      </c>
      <c r="X1104" t="s">
        <v>46</v>
      </c>
      <c r="Y1104" t="s">
        <v>46</v>
      </c>
      <c r="Z1104" t="s">
        <v>46</v>
      </c>
      <c r="AA1104" t="s">
        <v>46</v>
      </c>
      <c r="AB1104" s="2" t="s">
        <v>4329</v>
      </c>
      <c r="AC1104" t="s">
        <v>43</v>
      </c>
      <c r="AD1104" t="s">
        <v>43</v>
      </c>
      <c r="AE1104" t="s">
        <v>43</v>
      </c>
      <c r="AF1104" t="s">
        <v>43</v>
      </c>
      <c r="AG1104" t="s">
        <v>43</v>
      </c>
      <c r="AH1104" s="2" t="s">
        <v>43</v>
      </c>
    </row>
    <row r="1105" spans="1:34" ht="195">
      <c r="A1105" s="6" t="s">
        <v>390</v>
      </c>
      <c r="B1105" s="7">
        <v>46041</v>
      </c>
      <c r="C1105" s="9" t="str">
        <f>HYPERLINK("https://eping.wto.org/en/Search?viewData= G/TBT/N/TZA/1494"," G/TBT/N/TZA/1494")</f>
        <v xml:space="preserve"> G/TBT/N/TZA/1494</v>
      </c>
      <c r="D1105" s="8" t="s">
        <v>4330</v>
      </c>
      <c r="E1105" s="8" t="s">
        <v>4331</v>
      </c>
      <c r="F1105" s="8" t="s">
        <v>4332</v>
      </c>
      <c r="G1105" s="8" t="s">
        <v>4333</v>
      </c>
      <c r="H1105" s="8" t="s">
        <v>453</v>
      </c>
      <c r="I1105" s="8" t="s">
        <v>684</v>
      </c>
      <c r="J1105" s="8" t="s">
        <v>43</v>
      </c>
      <c r="K1105" s="8" t="s">
        <v>240</v>
      </c>
      <c r="L1105" s="6"/>
      <c r="M1105" s="7">
        <v>46101</v>
      </c>
      <c r="N1105" s="7" t="s">
        <v>79</v>
      </c>
      <c r="O1105" s="7" t="s">
        <v>79</v>
      </c>
      <c r="P1105" s="6" t="s">
        <v>62</v>
      </c>
      <c r="Q1105" s="8" t="s">
        <v>4334</v>
      </c>
      <c r="R1105" t="str">
        <f>HYPERLINK("https://docs.wto.org/imrd/directdoc.asp?DDFDocuments/t/G/TBTN26/TZA1494.docx", "https://docs.wto.org/imrd/directdoc.asp?DDFDocuments/t/G/TBTN26/TZA1494.docx")</f>
        <v>https://docs.wto.org/imrd/directdoc.asp?DDFDocuments/t/G/TBTN26/TZA1494.docx</v>
      </c>
      <c r="S1105" t="str">
        <f>HYPERLINK("https://docs.wto.org/imrd/directdoc.asp?DDFDocuments/u/G/TBTN26/TZA1494.docx", "https://docs.wto.org/imrd/directdoc.asp?DDFDocuments/u/G/TBTN26/TZA1494.docx")</f>
        <v>https://docs.wto.org/imrd/directdoc.asp?DDFDocuments/u/G/TBTN26/TZA1494.docx</v>
      </c>
      <c r="T1105" t="str">
        <f>HYPERLINK("https://docs.wto.org/imrd/directdoc.asp?DDFDocuments/v/G/TBTN26/TZA1494.docx", "https://docs.wto.org/imrd/directdoc.asp?DDFDocuments/v/G/TBTN26/TZA1494.docx")</f>
        <v>https://docs.wto.org/imrd/directdoc.asp?DDFDocuments/v/G/TBTN26/TZA1494.docx</v>
      </c>
      <c r="U1105" t="s">
        <v>64</v>
      </c>
      <c r="V1105" t="s">
        <v>46</v>
      </c>
      <c r="W1105" t="s">
        <v>46</v>
      </c>
      <c r="X1105" t="s">
        <v>46</v>
      </c>
      <c r="Y1105" t="s">
        <v>46</v>
      </c>
      <c r="Z1105" t="s">
        <v>46</v>
      </c>
      <c r="AA1105" t="s">
        <v>46</v>
      </c>
      <c r="AB1105" s="2" t="s">
        <v>4335</v>
      </c>
      <c r="AC1105" t="s">
        <v>43</v>
      </c>
      <c r="AD1105" t="s">
        <v>43</v>
      </c>
      <c r="AE1105" t="s">
        <v>43</v>
      </c>
      <c r="AF1105" t="s">
        <v>43</v>
      </c>
      <c r="AG1105" t="s">
        <v>43</v>
      </c>
      <c r="AH1105" s="2" t="s">
        <v>43</v>
      </c>
    </row>
    <row r="1106" spans="1:34" ht="135">
      <c r="A1106" s="6" t="s">
        <v>390</v>
      </c>
      <c r="B1106" s="7">
        <v>46041</v>
      </c>
      <c r="C1106" s="9" t="str">
        <f>HYPERLINK("https://eping.wto.org/en/Search?viewData= G/TBT/N/TZA/1492"," G/TBT/N/TZA/1492")</f>
        <v xml:space="preserve"> G/TBT/N/TZA/1492</v>
      </c>
      <c r="D1106" s="8" t="s">
        <v>4336</v>
      </c>
      <c r="E1106" s="8" t="s">
        <v>4337</v>
      </c>
      <c r="F1106" s="8" t="s">
        <v>4191</v>
      </c>
      <c r="G1106" s="8" t="s">
        <v>4192</v>
      </c>
      <c r="H1106" s="8" t="s">
        <v>274</v>
      </c>
      <c r="I1106" s="8" t="s">
        <v>684</v>
      </c>
      <c r="J1106" s="8" t="s">
        <v>43</v>
      </c>
      <c r="K1106" s="8" t="s">
        <v>240</v>
      </c>
      <c r="L1106" s="6"/>
      <c r="M1106" s="7">
        <v>46101</v>
      </c>
      <c r="N1106" s="7" t="s">
        <v>79</v>
      </c>
      <c r="O1106" s="7" t="s">
        <v>79</v>
      </c>
      <c r="P1106" s="6" t="s">
        <v>62</v>
      </c>
      <c r="Q1106" s="8" t="s">
        <v>4338</v>
      </c>
      <c r="R1106" t="str">
        <f>HYPERLINK("https://docs.wto.org/imrd/directdoc.asp?DDFDocuments/t/G/TBTN26/TZA1492.docx", "https://docs.wto.org/imrd/directdoc.asp?DDFDocuments/t/G/TBTN26/TZA1492.docx")</f>
        <v>https://docs.wto.org/imrd/directdoc.asp?DDFDocuments/t/G/TBTN26/TZA1492.docx</v>
      </c>
      <c r="S1106" t="str">
        <f>HYPERLINK("https://docs.wto.org/imrd/directdoc.asp?DDFDocuments/u/G/TBTN26/TZA1492.docx", "https://docs.wto.org/imrd/directdoc.asp?DDFDocuments/u/G/TBTN26/TZA1492.docx")</f>
        <v>https://docs.wto.org/imrd/directdoc.asp?DDFDocuments/u/G/TBTN26/TZA1492.docx</v>
      </c>
      <c r="T1106" t="str">
        <f>HYPERLINK("https://docs.wto.org/imrd/directdoc.asp?DDFDocuments/v/G/TBTN26/TZA1492.docx", "https://docs.wto.org/imrd/directdoc.asp?DDFDocuments/v/G/TBTN26/TZA1492.docx")</f>
        <v>https://docs.wto.org/imrd/directdoc.asp?DDFDocuments/v/G/TBTN26/TZA1492.docx</v>
      </c>
      <c r="U1106" t="s">
        <v>64</v>
      </c>
      <c r="V1106" t="s">
        <v>46</v>
      </c>
      <c r="W1106" t="s">
        <v>46</v>
      </c>
      <c r="X1106" t="s">
        <v>46</v>
      </c>
      <c r="Y1106" t="s">
        <v>46</v>
      </c>
      <c r="Z1106" t="s">
        <v>46</v>
      </c>
      <c r="AA1106" t="s">
        <v>46</v>
      </c>
      <c r="AB1106" s="2" t="s">
        <v>4339</v>
      </c>
      <c r="AC1106" t="s">
        <v>43</v>
      </c>
      <c r="AD1106" t="s">
        <v>43</v>
      </c>
      <c r="AE1106" t="s">
        <v>43</v>
      </c>
      <c r="AF1106" t="s">
        <v>43</v>
      </c>
      <c r="AG1106" t="s">
        <v>43</v>
      </c>
      <c r="AH1106" s="2" t="s">
        <v>43</v>
      </c>
    </row>
    <row r="1107" spans="1:34" ht="180">
      <c r="A1107" s="6" t="s">
        <v>390</v>
      </c>
      <c r="B1107" s="7">
        <v>46041</v>
      </c>
      <c r="C1107" s="9" t="str">
        <f>HYPERLINK("https://eping.wto.org/en/Search?viewData= G/TBT/N/TZA/1493"," G/TBT/N/TZA/1493")</f>
        <v xml:space="preserve"> G/TBT/N/TZA/1493</v>
      </c>
      <c r="D1107" s="8" t="s">
        <v>4340</v>
      </c>
      <c r="E1107" s="8" t="s">
        <v>4341</v>
      </c>
      <c r="F1107" s="8" t="s">
        <v>4191</v>
      </c>
      <c r="G1107" s="8" t="s">
        <v>4192</v>
      </c>
      <c r="H1107" s="8" t="s">
        <v>274</v>
      </c>
      <c r="I1107" s="8" t="s">
        <v>684</v>
      </c>
      <c r="J1107" s="8" t="s">
        <v>43</v>
      </c>
      <c r="K1107" s="8" t="s">
        <v>240</v>
      </c>
      <c r="L1107" s="6"/>
      <c r="M1107" s="7">
        <v>46101</v>
      </c>
      <c r="N1107" s="7" t="s">
        <v>79</v>
      </c>
      <c r="O1107" s="7" t="s">
        <v>79</v>
      </c>
      <c r="P1107" s="6" t="s">
        <v>62</v>
      </c>
      <c r="Q1107" s="8" t="s">
        <v>4342</v>
      </c>
      <c r="R1107" t="str">
        <f>HYPERLINK("https://docs.wto.org/imrd/directdoc.asp?DDFDocuments/t/G/TBTN26/TZA1493.docx", "https://docs.wto.org/imrd/directdoc.asp?DDFDocuments/t/G/TBTN26/TZA1493.docx")</f>
        <v>https://docs.wto.org/imrd/directdoc.asp?DDFDocuments/t/G/TBTN26/TZA1493.docx</v>
      </c>
      <c r="S1107" t="str">
        <f>HYPERLINK("https://docs.wto.org/imrd/directdoc.asp?DDFDocuments/u/G/TBTN26/TZA1493.docx", "https://docs.wto.org/imrd/directdoc.asp?DDFDocuments/u/G/TBTN26/TZA1493.docx")</f>
        <v>https://docs.wto.org/imrd/directdoc.asp?DDFDocuments/u/G/TBTN26/TZA1493.docx</v>
      </c>
      <c r="T1107" t="str">
        <f>HYPERLINK("https://docs.wto.org/imrd/directdoc.asp?DDFDocuments/v/G/TBTN26/TZA1493.docx", "https://docs.wto.org/imrd/directdoc.asp?DDFDocuments/v/G/TBTN26/TZA1493.docx")</f>
        <v>https://docs.wto.org/imrd/directdoc.asp?DDFDocuments/v/G/TBTN26/TZA1493.docx</v>
      </c>
      <c r="U1107" t="s">
        <v>64</v>
      </c>
      <c r="V1107" t="s">
        <v>46</v>
      </c>
      <c r="W1107" t="s">
        <v>46</v>
      </c>
      <c r="X1107" t="s">
        <v>46</v>
      </c>
      <c r="Y1107" t="s">
        <v>46</v>
      </c>
      <c r="Z1107" t="s">
        <v>46</v>
      </c>
      <c r="AA1107" t="s">
        <v>46</v>
      </c>
      <c r="AB1107" s="2" t="s">
        <v>4343</v>
      </c>
      <c r="AC1107" t="s">
        <v>43</v>
      </c>
      <c r="AD1107" t="s">
        <v>43</v>
      </c>
      <c r="AE1107" t="s">
        <v>43</v>
      </c>
      <c r="AF1107" t="s">
        <v>43</v>
      </c>
      <c r="AG1107" t="s">
        <v>43</v>
      </c>
      <c r="AH1107" s="2" t="s">
        <v>43</v>
      </c>
    </row>
    <row r="1108" spans="1:34" ht="45">
      <c r="A1108" s="6" t="s">
        <v>289</v>
      </c>
      <c r="B1108" s="7">
        <v>46041</v>
      </c>
      <c r="C1108" s="9" t="str">
        <f>HYPERLINK("https://eping.wto.org/en/Search?viewData= G/TBT/N/BRA/1616/Corr.1"," G/TBT/N/BRA/1616/Corr.1")</f>
        <v xml:space="preserve"> G/TBT/N/BRA/1616/Corr.1</v>
      </c>
      <c r="D1108" s="8" t="s">
        <v>3980</v>
      </c>
      <c r="E1108" s="8" t="s">
        <v>4344</v>
      </c>
      <c r="F1108" s="8" t="s">
        <v>3982</v>
      </c>
      <c r="G1108" s="8" t="s">
        <v>43</v>
      </c>
      <c r="H1108" s="8" t="s">
        <v>43</v>
      </c>
      <c r="I1108" s="8" t="s">
        <v>129</v>
      </c>
      <c r="J1108" s="8" t="s">
        <v>3983</v>
      </c>
      <c r="K1108" s="8" t="s">
        <v>43</v>
      </c>
      <c r="L1108" s="6"/>
      <c r="M1108" s="7" t="s">
        <v>43</v>
      </c>
      <c r="N1108" s="7"/>
      <c r="O1108" s="7"/>
      <c r="P1108" s="6" t="s">
        <v>296</v>
      </c>
      <c r="Q1108" s="8" t="s">
        <v>4345</v>
      </c>
      <c r="R1108" t="str">
        <f>HYPERLINK("https://docs.wto.org/imrd/directdoc.asp?DDFDocuments/t/G/TBTN26/BRA1616C1.docx", "https://docs.wto.org/imrd/directdoc.asp?DDFDocuments/t/G/TBTN26/BRA1616C1.docx")</f>
        <v>https://docs.wto.org/imrd/directdoc.asp?DDFDocuments/t/G/TBTN26/BRA1616C1.docx</v>
      </c>
      <c r="S1108" t="str">
        <f>HYPERLINK("https://docs.wto.org/imrd/directdoc.asp?DDFDocuments/u/G/TBTN26/BRA1616C1.docx", "https://docs.wto.org/imrd/directdoc.asp?DDFDocuments/u/G/TBTN26/BRA1616C1.docx")</f>
        <v>https://docs.wto.org/imrd/directdoc.asp?DDFDocuments/u/G/TBTN26/BRA1616C1.docx</v>
      </c>
      <c r="T1108" t="str">
        <f>HYPERLINK("https://docs.wto.org/imrd/directdoc.asp?DDFDocuments/v/G/TBTN26/BRA1616C1.docx", "https://docs.wto.org/imrd/directdoc.asp?DDFDocuments/v/G/TBTN26/BRA1616C1.docx")</f>
        <v>https://docs.wto.org/imrd/directdoc.asp?DDFDocuments/v/G/TBTN26/BRA1616C1.docx</v>
      </c>
      <c r="U1108" t="s">
        <v>46</v>
      </c>
      <c r="V1108" t="s">
        <v>46</v>
      </c>
      <c r="W1108" t="s">
        <v>46</v>
      </c>
      <c r="X1108" t="s">
        <v>46</v>
      </c>
      <c r="Y1108" t="s">
        <v>46</v>
      </c>
      <c r="Z1108" t="s">
        <v>46</v>
      </c>
      <c r="AA1108" t="s">
        <v>46</v>
      </c>
      <c r="AB1108" s="2" t="s">
        <v>43</v>
      </c>
      <c r="AC1108" t="s">
        <v>43</v>
      </c>
      <c r="AD1108" t="s">
        <v>43</v>
      </c>
      <c r="AE1108" t="s">
        <v>43</v>
      </c>
      <c r="AF1108" t="s">
        <v>43</v>
      </c>
      <c r="AG1108" t="s">
        <v>43</v>
      </c>
      <c r="AH1108" s="2" t="s">
        <v>43</v>
      </c>
    </row>
    <row r="1109" spans="1:34" ht="45">
      <c r="A1109" s="6" t="s">
        <v>390</v>
      </c>
      <c r="B1109" s="7">
        <v>46038</v>
      </c>
      <c r="C1109" s="9" t="str">
        <f>HYPERLINK("https://eping.wto.org/en/Search?viewData= G/SPS/N/TZA/494"," G/SPS/N/TZA/494")</f>
        <v xml:space="preserve"> G/SPS/N/TZA/494</v>
      </c>
      <c r="D1109" s="8" t="s">
        <v>4346</v>
      </c>
      <c r="E1109" s="8" t="s">
        <v>4347</v>
      </c>
      <c r="F1109" s="8" t="s">
        <v>4348</v>
      </c>
      <c r="G1109" s="8" t="s">
        <v>4192</v>
      </c>
      <c r="H1109" s="8" t="s">
        <v>274</v>
      </c>
      <c r="I1109" s="8" t="s">
        <v>58</v>
      </c>
      <c r="J1109" s="8" t="s">
        <v>43</v>
      </c>
      <c r="K1109" s="8" t="s">
        <v>2405</v>
      </c>
      <c r="L1109" s="6" t="s">
        <v>43</v>
      </c>
      <c r="M1109" s="7">
        <v>46098</v>
      </c>
      <c r="N1109" s="7" t="s">
        <v>396</v>
      </c>
      <c r="O1109" s="7" t="s">
        <v>304</v>
      </c>
      <c r="P1109" s="6" t="s">
        <v>62</v>
      </c>
      <c r="Q1109" s="8" t="s">
        <v>4349</v>
      </c>
      <c r="R1109" t="str">
        <f>HYPERLINK("https://docs.wto.org/imrd/directdoc.asp?DDFDocuments/t/G/SPS/NTZA494.docx", "https://docs.wto.org/imrd/directdoc.asp?DDFDocuments/t/G/SPS/NTZA494.docx")</f>
        <v>https://docs.wto.org/imrd/directdoc.asp?DDFDocuments/t/G/SPS/NTZA494.docx</v>
      </c>
      <c r="S1109" t="str">
        <f>HYPERLINK("https://docs.wto.org/imrd/directdoc.asp?DDFDocuments/u/G/SPS/NTZA494.docx", "https://docs.wto.org/imrd/directdoc.asp?DDFDocuments/u/G/SPS/NTZA494.docx")</f>
        <v>https://docs.wto.org/imrd/directdoc.asp?DDFDocuments/u/G/SPS/NTZA494.docx</v>
      </c>
      <c r="T1109" t="str">
        <f>HYPERLINK("https://docs.wto.org/imrd/directdoc.asp?DDFDocuments/v/G/SPS/NTZA494.docx", "https://docs.wto.org/imrd/directdoc.asp?DDFDocuments/v/G/SPS/NTZA494.docx")</f>
        <v>https://docs.wto.org/imrd/directdoc.asp?DDFDocuments/v/G/SPS/NTZA494.docx</v>
      </c>
      <c r="U1109" t="s">
        <v>43</v>
      </c>
      <c r="V1109" t="s">
        <v>43</v>
      </c>
      <c r="W1109" t="s">
        <v>43</v>
      </c>
      <c r="X1109" t="s">
        <v>43</v>
      </c>
      <c r="Y1109" t="s">
        <v>43</v>
      </c>
      <c r="Z1109" t="s">
        <v>43</v>
      </c>
      <c r="AA1109" t="s">
        <v>43</v>
      </c>
      <c r="AB1109" s="2" t="s">
        <v>43</v>
      </c>
      <c r="AC1109" t="s">
        <v>46</v>
      </c>
      <c r="AD1109" t="s">
        <v>46</v>
      </c>
      <c r="AE1109" t="s">
        <v>46</v>
      </c>
      <c r="AF1109" t="s">
        <v>64</v>
      </c>
      <c r="AG1109" t="s">
        <v>99</v>
      </c>
      <c r="AH1109" s="2" t="s">
        <v>43</v>
      </c>
    </row>
    <row r="1110" spans="1:34" ht="45">
      <c r="A1110" s="6" t="s">
        <v>289</v>
      </c>
      <c r="B1110" s="7">
        <v>46038</v>
      </c>
      <c r="C1110" s="9" t="str">
        <f>HYPERLINK("https://eping.wto.org/en/Search?viewData= G/TBT/N/BRA/1616"," G/TBT/N/BRA/1616")</f>
        <v xml:space="preserve"> G/TBT/N/BRA/1616</v>
      </c>
      <c r="D1110" s="8" t="s">
        <v>3980</v>
      </c>
      <c r="E1110" s="8" t="s">
        <v>4350</v>
      </c>
      <c r="F1110" s="8" t="s">
        <v>3982</v>
      </c>
      <c r="G1110" s="8" t="s">
        <v>43</v>
      </c>
      <c r="H1110" s="8" t="s">
        <v>43</v>
      </c>
      <c r="I1110" s="8" t="s">
        <v>129</v>
      </c>
      <c r="J1110" s="8" t="s">
        <v>3983</v>
      </c>
      <c r="K1110" s="8" t="s">
        <v>43</v>
      </c>
      <c r="L1110" s="6"/>
      <c r="M1110" s="7">
        <v>46081</v>
      </c>
      <c r="N1110" s="7" t="s">
        <v>79</v>
      </c>
      <c r="O1110" s="7" t="s">
        <v>79</v>
      </c>
      <c r="P1110" s="6" t="s">
        <v>62</v>
      </c>
      <c r="Q1110" s="8" t="s">
        <v>4351</v>
      </c>
      <c r="R1110" t="str">
        <f>HYPERLINK("https://docs.wto.org/imrd/directdoc.asp?DDFDocuments/t/G/TBTN26/BRA1616.docx", "https://docs.wto.org/imrd/directdoc.asp?DDFDocuments/t/G/TBTN26/BRA1616.docx")</f>
        <v>https://docs.wto.org/imrd/directdoc.asp?DDFDocuments/t/G/TBTN26/BRA1616.docx</v>
      </c>
      <c r="S1110" t="str">
        <f>HYPERLINK("https://docs.wto.org/imrd/directdoc.asp?DDFDocuments/u/G/TBTN26/BRA1616.docx", "https://docs.wto.org/imrd/directdoc.asp?DDFDocuments/u/G/TBTN26/BRA1616.docx")</f>
        <v>https://docs.wto.org/imrd/directdoc.asp?DDFDocuments/u/G/TBTN26/BRA1616.docx</v>
      </c>
      <c r="T1110" t="str">
        <f>HYPERLINK("https://docs.wto.org/imrd/directdoc.asp?DDFDocuments/v/G/TBTN26/BRA1616.docx", "https://docs.wto.org/imrd/directdoc.asp?DDFDocuments/v/G/TBTN26/BRA1616.docx")</f>
        <v>https://docs.wto.org/imrd/directdoc.asp?DDFDocuments/v/G/TBTN26/BRA1616.docx</v>
      </c>
      <c r="U1110" t="s">
        <v>64</v>
      </c>
      <c r="V1110" t="s">
        <v>46</v>
      </c>
      <c r="W1110" t="s">
        <v>46</v>
      </c>
      <c r="X1110" t="s">
        <v>46</v>
      </c>
      <c r="Y1110" t="s">
        <v>46</v>
      </c>
      <c r="Z1110" t="s">
        <v>46</v>
      </c>
      <c r="AA1110" t="s">
        <v>46</v>
      </c>
      <c r="AB1110" s="2" t="s">
        <v>4352</v>
      </c>
      <c r="AC1110" t="s">
        <v>43</v>
      </c>
      <c r="AD1110" t="s">
        <v>43</v>
      </c>
      <c r="AE1110" t="s">
        <v>43</v>
      </c>
      <c r="AF1110" t="s">
        <v>43</v>
      </c>
      <c r="AG1110" t="s">
        <v>43</v>
      </c>
      <c r="AH1110" s="2" t="s">
        <v>43</v>
      </c>
    </row>
    <row r="1111" spans="1:34" ht="180">
      <c r="A1111" s="6" t="s">
        <v>289</v>
      </c>
      <c r="B1111" s="7">
        <v>46038</v>
      </c>
      <c r="C1111" s="9" t="str">
        <f>HYPERLINK("https://eping.wto.org/en/Search?viewData= G/TBT/N/BRA/1077/Add.11"," G/TBT/N/BRA/1077/Add.11")</f>
        <v xml:space="preserve"> G/TBT/N/BRA/1077/Add.11</v>
      </c>
      <c r="D1111" s="8" t="s">
        <v>4353</v>
      </c>
      <c r="E1111" s="8" t="s">
        <v>4354</v>
      </c>
      <c r="F1111" s="8" t="s">
        <v>4355</v>
      </c>
      <c r="G1111" s="8" t="s">
        <v>43</v>
      </c>
      <c r="H1111" s="8" t="s">
        <v>43</v>
      </c>
      <c r="I1111" s="8" t="s">
        <v>52</v>
      </c>
      <c r="J1111" s="8" t="s">
        <v>4356</v>
      </c>
      <c r="K1111" s="8" t="s">
        <v>43</v>
      </c>
      <c r="L1111" s="6"/>
      <c r="M1111" s="7" t="s">
        <v>43</v>
      </c>
      <c r="N1111" s="7"/>
      <c r="O1111" s="7"/>
      <c r="P1111" s="6" t="s">
        <v>44</v>
      </c>
      <c r="Q1111" s="8" t="s">
        <v>4357</v>
      </c>
      <c r="R1111" t="str">
        <f>HYPERLINK("https://docs.wto.org/imrd/directdoc.asp?DDFDocuments/t/G/TBTN20/BRA1077A11.docx", "https://docs.wto.org/imrd/directdoc.asp?DDFDocuments/t/G/TBTN20/BRA1077A11.docx")</f>
        <v>https://docs.wto.org/imrd/directdoc.asp?DDFDocuments/t/G/TBTN20/BRA1077A11.docx</v>
      </c>
      <c r="S1111" t="str">
        <f>HYPERLINK("https://docs.wto.org/imrd/directdoc.asp?DDFDocuments/u/G/TBTN20/BRA1077A11.docx", "https://docs.wto.org/imrd/directdoc.asp?DDFDocuments/u/G/TBTN20/BRA1077A11.docx")</f>
        <v>https://docs.wto.org/imrd/directdoc.asp?DDFDocuments/u/G/TBTN20/BRA1077A11.docx</v>
      </c>
      <c r="T1111" t="str">
        <f>HYPERLINK("https://docs.wto.org/imrd/directdoc.asp?DDFDocuments/v/G/TBTN20/BRA1077A11.docx", "https://docs.wto.org/imrd/directdoc.asp?DDFDocuments/v/G/TBTN20/BRA1077A11.docx")</f>
        <v>https://docs.wto.org/imrd/directdoc.asp?DDFDocuments/v/G/TBTN20/BRA1077A11.docx</v>
      </c>
      <c r="U1111" t="s">
        <v>64</v>
      </c>
      <c r="V1111" t="s">
        <v>46</v>
      </c>
      <c r="W1111" t="s">
        <v>46</v>
      </c>
      <c r="X1111" t="s">
        <v>46</v>
      </c>
      <c r="Y1111" t="s">
        <v>46</v>
      </c>
      <c r="Z1111" t="s">
        <v>46</v>
      </c>
      <c r="AA1111" t="s">
        <v>46</v>
      </c>
      <c r="AB1111" s="2" t="s">
        <v>43</v>
      </c>
      <c r="AC1111" t="s">
        <v>43</v>
      </c>
      <c r="AD1111" t="s">
        <v>43</v>
      </c>
      <c r="AE1111" t="s">
        <v>43</v>
      </c>
      <c r="AF1111" t="s">
        <v>43</v>
      </c>
      <c r="AG1111" t="s">
        <v>43</v>
      </c>
      <c r="AH1111" s="2" t="s">
        <v>43</v>
      </c>
    </row>
    <row r="1112" spans="1:34" ht="375">
      <c r="A1112" s="6" t="s">
        <v>132</v>
      </c>
      <c r="B1112" s="7">
        <v>46038</v>
      </c>
      <c r="C1112" s="9" t="str">
        <f>HYPERLINK("https://eping.wto.org/en/Search?viewData= G/TBT/N/USA/2170/Add.2"," G/TBT/N/USA/2170/Add.2")</f>
        <v xml:space="preserve"> G/TBT/N/USA/2170/Add.2</v>
      </c>
      <c r="D1112" s="8" t="s">
        <v>4358</v>
      </c>
      <c r="E1112" s="8" t="s">
        <v>4359</v>
      </c>
      <c r="F1112" s="8" t="s">
        <v>4360</v>
      </c>
      <c r="G1112" s="8" t="s">
        <v>43</v>
      </c>
      <c r="H1112" s="8" t="s">
        <v>4361</v>
      </c>
      <c r="I1112" s="8" t="s">
        <v>336</v>
      </c>
      <c r="J1112" s="8" t="s">
        <v>43</v>
      </c>
      <c r="K1112" s="8" t="s">
        <v>43</v>
      </c>
      <c r="L1112" s="6"/>
      <c r="M1112" s="7" t="s">
        <v>43</v>
      </c>
      <c r="N1112" s="7"/>
      <c r="O1112" s="7"/>
      <c r="P1112" s="6" t="s">
        <v>44</v>
      </c>
      <c r="Q1112" s="8" t="s">
        <v>4362</v>
      </c>
      <c r="R1112" t="str">
        <f>HYPERLINK("https://docs.wto.org/imrd/directdoc.asp?DDFDocuments/t/G/TBTN24/USA2170A2.docx", "https://docs.wto.org/imrd/directdoc.asp?DDFDocuments/t/G/TBTN24/USA2170A2.docx")</f>
        <v>https://docs.wto.org/imrd/directdoc.asp?DDFDocuments/t/G/TBTN24/USA2170A2.docx</v>
      </c>
      <c r="S1112" t="str">
        <f>HYPERLINK("https://docs.wto.org/imrd/directdoc.asp?DDFDocuments/u/G/TBTN24/USA2170A2.docx", "https://docs.wto.org/imrd/directdoc.asp?DDFDocuments/u/G/TBTN24/USA2170A2.docx")</f>
        <v>https://docs.wto.org/imrd/directdoc.asp?DDFDocuments/u/G/TBTN24/USA2170A2.docx</v>
      </c>
      <c r="T1112" t="str">
        <f>HYPERLINK("https://docs.wto.org/imrd/directdoc.asp?DDFDocuments/v/G/TBTN24/USA2170A2.docx", "https://docs.wto.org/imrd/directdoc.asp?DDFDocuments/v/G/TBTN24/USA2170A2.docx")</f>
        <v>https://docs.wto.org/imrd/directdoc.asp?DDFDocuments/v/G/TBTN24/USA2170A2.docx</v>
      </c>
      <c r="U1112" t="s">
        <v>64</v>
      </c>
      <c r="V1112" t="s">
        <v>46</v>
      </c>
      <c r="W1112" t="s">
        <v>46</v>
      </c>
      <c r="X1112" t="s">
        <v>46</v>
      </c>
      <c r="Y1112" t="s">
        <v>46</v>
      </c>
      <c r="Z1112" t="s">
        <v>46</v>
      </c>
      <c r="AA1112" t="s">
        <v>46</v>
      </c>
      <c r="AB1112" s="2" t="s">
        <v>43</v>
      </c>
      <c r="AC1112" t="s">
        <v>43</v>
      </c>
      <c r="AD1112" t="s">
        <v>43</v>
      </c>
      <c r="AE1112" t="s">
        <v>43</v>
      </c>
      <c r="AF1112" t="s">
        <v>43</v>
      </c>
      <c r="AG1112" t="s">
        <v>43</v>
      </c>
      <c r="AH1112" s="2" t="s">
        <v>43</v>
      </c>
    </row>
    <row r="1113" spans="1:34" ht="45">
      <c r="A1113" s="6" t="s">
        <v>577</v>
      </c>
      <c r="B1113" s="7">
        <v>46038</v>
      </c>
      <c r="C1113" s="9" t="str">
        <f>HYPERLINK("https://eping.wto.org/en/Search?viewData= G/TBT/N/BDI/707, G/TBT/N/KEN/1975, G/TBT/N/RWA/1337, G/TBT/N/TZA/1487, G/TBT/N/UGA/2306"," G/TBT/N/BDI/707, G/TBT/N/KEN/1975, G/TBT/N/RWA/1337, G/TBT/N/TZA/1487, G/TBT/N/UGA/2306")</f>
        <v xml:space="preserve"> G/TBT/N/BDI/707, G/TBT/N/KEN/1975, G/TBT/N/RWA/1337, G/TBT/N/TZA/1487, G/TBT/N/UGA/2306</v>
      </c>
      <c r="D1113" s="8" t="s">
        <v>4363</v>
      </c>
      <c r="E1113" s="8" t="s">
        <v>4364</v>
      </c>
      <c r="F1113" s="8" t="s">
        <v>4365</v>
      </c>
      <c r="G1113" s="8" t="s">
        <v>43</v>
      </c>
      <c r="H1113" s="8" t="s">
        <v>4366</v>
      </c>
      <c r="I1113" s="8" t="s">
        <v>113</v>
      </c>
      <c r="J1113" s="8" t="s">
        <v>43</v>
      </c>
      <c r="K1113" s="8" t="s">
        <v>43</v>
      </c>
      <c r="L1113" s="6"/>
      <c r="M1113" s="7">
        <v>46098</v>
      </c>
      <c r="N1113" s="7" t="s">
        <v>79</v>
      </c>
      <c r="O1113" s="7" t="s">
        <v>114</v>
      </c>
      <c r="P1113" s="6" t="s">
        <v>62</v>
      </c>
      <c r="Q1113" s="8" t="s">
        <v>4367</v>
      </c>
      <c r="R1113" t="str">
        <f>HYPERLINK("https://docs.wto.org/imrd/directdoc.asp?DDFDocuments/t/G/TBTN26/BDI707.docx", "https://docs.wto.org/imrd/directdoc.asp?DDFDocuments/t/G/TBTN26/BDI707.docx")</f>
        <v>https://docs.wto.org/imrd/directdoc.asp?DDFDocuments/t/G/TBTN26/BDI707.docx</v>
      </c>
      <c r="S1113" t="str">
        <f>HYPERLINK("https://docs.wto.org/imrd/directdoc.asp?DDFDocuments/u/G/TBTN26/BDI707.docx", "https://docs.wto.org/imrd/directdoc.asp?DDFDocuments/u/G/TBTN26/BDI707.docx")</f>
        <v>https://docs.wto.org/imrd/directdoc.asp?DDFDocuments/u/G/TBTN26/BDI707.docx</v>
      </c>
      <c r="T1113" t="str">
        <f>HYPERLINK("https://docs.wto.org/imrd/directdoc.asp?DDFDocuments/v/G/TBTN26/BDI707.docx", "https://docs.wto.org/imrd/directdoc.asp?DDFDocuments/v/G/TBTN26/BDI707.docx")</f>
        <v>https://docs.wto.org/imrd/directdoc.asp?DDFDocuments/v/G/TBTN26/BDI707.docx</v>
      </c>
      <c r="U1113" t="s">
        <v>64</v>
      </c>
      <c r="V1113" t="s">
        <v>46</v>
      </c>
      <c r="W1113" t="s">
        <v>46</v>
      </c>
      <c r="X1113" t="s">
        <v>46</v>
      </c>
      <c r="Y1113" t="s">
        <v>46</v>
      </c>
      <c r="Z1113" t="s">
        <v>46</v>
      </c>
      <c r="AA1113" t="s">
        <v>46</v>
      </c>
      <c r="AB1113" s="2" t="s">
        <v>4368</v>
      </c>
      <c r="AC1113" t="s">
        <v>43</v>
      </c>
      <c r="AD1113" t="s">
        <v>43</v>
      </c>
      <c r="AE1113" t="s">
        <v>43</v>
      </c>
      <c r="AF1113" t="s">
        <v>43</v>
      </c>
      <c r="AG1113" t="s">
        <v>43</v>
      </c>
      <c r="AH1113" s="2" t="s">
        <v>43</v>
      </c>
    </row>
    <row r="1114" spans="1:34" ht="360">
      <c r="A1114" s="6" t="s">
        <v>132</v>
      </c>
      <c r="B1114" s="7">
        <v>46038</v>
      </c>
      <c r="C1114" s="9" t="str">
        <f>HYPERLINK("https://eping.wto.org/en/Search?viewData= G/TBT/N/USA/1123/Add.2"," G/TBT/N/USA/1123/Add.2")</f>
        <v xml:space="preserve"> G/TBT/N/USA/1123/Add.2</v>
      </c>
      <c r="D1114" s="8" t="s">
        <v>4369</v>
      </c>
      <c r="E1114" s="8" t="s">
        <v>4370</v>
      </c>
      <c r="F1114" s="8" t="s">
        <v>4371</v>
      </c>
      <c r="G1114" s="8" t="s">
        <v>43</v>
      </c>
      <c r="H1114" s="8" t="s">
        <v>4372</v>
      </c>
      <c r="I1114" s="8" t="s">
        <v>275</v>
      </c>
      <c r="J1114" s="8"/>
      <c r="K1114" s="8" t="s">
        <v>43</v>
      </c>
      <c r="L1114" s="6"/>
      <c r="M1114" s="7" t="s">
        <v>43</v>
      </c>
      <c r="N1114" s="7"/>
      <c r="O1114" s="7"/>
      <c r="P1114" s="6" t="s">
        <v>44</v>
      </c>
      <c r="Q1114" s="8" t="s">
        <v>4373</v>
      </c>
      <c r="R1114" t="str">
        <f>HYPERLINK("https://docs.wto.org/imrd/directdoc.asp?DDFDocuments/t/G/TBTN16/USA1123A2.docx", "https://docs.wto.org/imrd/directdoc.asp?DDFDocuments/t/G/TBTN16/USA1123A2.docx")</f>
        <v>https://docs.wto.org/imrd/directdoc.asp?DDFDocuments/t/G/TBTN16/USA1123A2.docx</v>
      </c>
      <c r="S1114" t="str">
        <f>HYPERLINK("https://docs.wto.org/imrd/directdoc.asp?DDFDocuments/u/G/TBTN16/USA1123A2.docx", "https://docs.wto.org/imrd/directdoc.asp?DDFDocuments/u/G/TBTN16/USA1123A2.docx")</f>
        <v>https://docs.wto.org/imrd/directdoc.asp?DDFDocuments/u/G/TBTN16/USA1123A2.docx</v>
      </c>
      <c r="T1114" t="str">
        <f>HYPERLINK("https://docs.wto.org/imrd/directdoc.asp?DDFDocuments/v/G/TBTN16/USA1123A2.docx", "https://docs.wto.org/imrd/directdoc.asp?DDFDocuments/v/G/TBTN16/USA1123A2.docx")</f>
        <v>https://docs.wto.org/imrd/directdoc.asp?DDFDocuments/v/G/TBTN16/USA1123A2.docx</v>
      </c>
      <c r="U1114" t="s">
        <v>64</v>
      </c>
      <c r="V1114" t="s">
        <v>46</v>
      </c>
      <c r="W1114" t="s">
        <v>46</v>
      </c>
      <c r="X1114" t="s">
        <v>46</v>
      </c>
      <c r="Y1114" t="s">
        <v>46</v>
      </c>
      <c r="Z1114" t="s">
        <v>46</v>
      </c>
      <c r="AA1114" t="s">
        <v>46</v>
      </c>
      <c r="AB1114" s="2" t="s">
        <v>43</v>
      </c>
      <c r="AC1114" t="s">
        <v>43</v>
      </c>
      <c r="AD1114" t="s">
        <v>43</v>
      </c>
      <c r="AE1114" t="s">
        <v>43</v>
      </c>
      <c r="AF1114" t="s">
        <v>43</v>
      </c>
      <c r="AG1114" t="s">
        <v>43</v>
      </c>
      <c r="AH1114" s="2" t="s">
        <v>43</v>
      </c>
    </row>
    <row r="1115" spans="1:34" ht="135">
      <c r="A1115" s="6" t="s">
        <v>89</v>
      </c>
      <c r="B1115" s="7">
        <v>46038</v>
      </c>
      <c r="C1115" s="9" t="str">
        <f>HYPERLINK("https://eping.wto.org/en/Search?viewData= G/TBT/N/CRI/189/Add.39"," G/TBT/N/CRI/189/Add.39")</f>
        <v xml:space="preserve"> G/TBT/N/CRI/189/Add.39</v>
      </c>
      <c r="D1115" s="8" t="s">
        <v>4220</v>
      </c>
      <c r="E1115" s="8" t="s">
        <v>4374</v>
      </c>
      <c r="F1115" s="8" t="s">
        <v>4222</v>
      </c>
      <c r="G1115" s="8" t="s">
        <v>406</v>
      </c>
      <c r="H1115" s="8" t="s">
        <v>407</v>
      </c>
      <c r="I1115" s="8" t="s">
        <v>1114</v>
      </c>
      <c r="J1115" s="8" t="s">
        <v>43</v>
      </c>
      <c r="K1115" s="8" t="s">
        <v>43</v>
      </c>
      <c r="L1115" s="6"/>
      <c r="M1115" s="7" t="s">
        <v>43</v>
      </c>
      <c r="N1115" s="7"/>
      <c r="O1115" s="7"/>
      <c r="P1115" s="6" t="s">
        <v>44</v>
      </c>
      <c r="Q1115" s="8" t="s">
        <v>4375</v>
      </c>
      <c r="R1115" t="str">
        <f>HYPERLINK("https://docs.wto.org/imrd/directdoc.asp?DDFDocuments/t/G/TBTN20/CRI189A39.docx", "https://docs.wto.org/imrd/directdoc.asp?DDFDocuments/t/G/TBTN20/CRI189A39.docx")</f>
        <v>https://docs.wto.org/imrd/directdoc.asp?DDFDocuments/t/G/TBTN20/CRI189A39.docx</v>
      </c>
      <c r="S1115" t="str">
        <f>HYPERLINK("https://docs.wto.org/imrd/directdoc.asp?DDFDocuments/u/G/TBTN20/CRI189A39.docx", "https://docs.wto.org/imrd/directdoc.asp?DDFDocuments/u/G/TBTN20/CRI189A39.docx")</f>
        <v>https://docs.wto.org/imrd/directdoc.asp?DDFDocuments/u/G/TBTN20/CRI189A39.docx</v>
      </c>
      <c r="T1115" t="str">
        <f>HYPERLINK("https://docs.wto.org/imrd/directdoc.asp?DDFDocuments/v/G/TBTN20/CRI189A39.docx", "https://docs.wto.org/imrd/directdoc.asp?DDFDocuments/v/G/TBTN20/CRI189A39.docx")</f>
        <v>https://docs.wto.org/imrd/directdoc.asp?DDFDocuments/v/G/TBTN20/CRI189A39.docx</v>
      </c>
      <c r="U1115" t="s">
        <v>64</v>
      </c>
      <c r="V1115" t="s">
        <v>46</v>
      </c>
      <c r="W1115" t="s">
        <v>46</v>
      </c>
      <c r="X1115" t="s">
        <v>46</v>
      </c>
      <c r="Y1115" t="s">
        <v>46</v>
      </c>
      <c r="Z1115" t="s">
        <v>46</v>
      </c>
      <c r="AA1115" t="s">
        <v>46</v>
      </c>
      <c r="AB1115" s="2" t="s">
        <v>43</v>
      </c>
      <c r="AC1115" t="s">
        <v>43</v>
      </c>
      <c r="AD1115" t="s">
        <v>43</v>
      </c>
      <c r="AE1115" t="s">
        <v>43</v>
      </c>
      <c r="AF1115" t="s">
        <v>43</v>
      </c>
      <c r="AG1115" t="s">
        <v>43</v>
      </c>
      <c r="AH1115" s="2" t="s">
        <v>43</v>
      </c>
    </row>
    <row r="1116" spans="1:34" ht="135">
      <c r="A1116" s="6" t="s">
        <v>82</v>
      </c>
      <c r="B1116" s="7">
        <v>46038</v>
      </c>
      <c r="C1116" s="9" t="str">
        <f>HYPERLINK("https://eping.wto.org/en/Search?viewData= G/TBT/N/JPN/896"," G/TBT/N/JPN/896")</f>
        <v xml:space="preserve"> G/TBT/N/JPN/896</v>
      </c>
      <c r="D1116" s="8" t="s">
        <v>4376</v>
      </c>
      <c r="E1116" s="8" t="s">
        <v>4377</v>
      </c>
      <c r="F1116" s="8" t="s">
        <v>4378</v>
      </c>
      <c r="G1116" s="8" t="s">
        <v>43</v>
      </c>
      <c r="H1116" s="8" t="s">
        <v>43</v>
      </c>
      <c r="I1116" s="8" t="s">
        <v>52</v>
      </c>
      <c r="J1116" s="8" t="s">
        <v>4379</v>
      </c>
      <c r="K1116" s="8" t="s">
        <v>240</v>
      </c>
      <c r="L1116" s="6"/>
      <c r="M1116" s="7">
        <v>46098</v>
      </c>
      <c r="N1116" s="7" t="s">
        <v>79</v>
      </c>
      <c r="O1116" s="7" t="s">
        <v>79</v>
      </c>
      <c r="P1116" s="6" t="s">
        <v>62</v>
      </c>
      <c r="Q1116" s="8" t="s">
        <v>4380</v>
      </c>
      <c r="R1116" t="str">
        <f>HYPERLINK("https://docs.wto.org/imrd/directdoc.asp?DDFDocuments/t/G/TBTN26/JPN896.docx", "https://docs.wto.org/imrd/directdoc.asp?DDFDocuments/t/G/TBTN26/JPN896.docx")</f>
        <v>https://docs.wto.org/imrd/directdoc.asp?DDFDocuments/t/G/TBTN26/JPN896.docx</v>
      </c>
      <c r="S1116" t="str">
        <f>HYPERLINK("https://docs.wto.org/imrd/directdoc.asp?DDFDocuments/u/G/TBTN26/JPN896.docx", "https://docs.wto.org/imrd/directdoc.asp?DDFDocuments/u/G/TBTN26/JPN896.docx")</f>
        <v>https://docs.wto.org/imrd/directdoc.asp?DDFDocuments/u/G/TBTN26/JPN896.docx</v>
      </c>
      <c r="T1116" t="str">
        <f>HYPERLINK("https://docs.wto.org/imrd/directdoc.asp?DDFDocuments/v/G/TBTN26/JPN896.docx", "https://docs.wto.org/imrd/directdoc.asp?DDFDocuments/v/G/TBTN26/JPN896.docx")</f>
        <v>https://docs.wto.org/imrd/directdoc.asp?DDFDocuments/v/G/TBTN26/JPN896.docx</v>
      </c>
      <c r="U1116" t="s">
        <v>64</v>
      </c>
      <c r="V1116" t="s">
        <v>46</v>
      </c>
      <c r="W1116" t="s">
        <v>46</v>
      </c>
      <c r="X1116" t="s">
        <v>46</v>
      </c>
      <c r="Y1116" t="s">
        <v>46</v>
      </c>
      <c r="Z1116" t="s">
        <v>46</v>
      </c>
      <c r="AA1116" t="s">
        <v>46</v>
      </c>
      <c r="AB1116" s="2" t="s">
        <v>4381</v>
      </c>
      <c r="AC1116" t="s">
        <v>43</v>
      </c>
      <c r="AD1116" t="s">
        <v>43</v>
      </c>
      <c r="AE1116" t="s">
        <v>43</v>
      </c>
      <c r="AF1116" t="s">
        <v>43</v>
      </c>
      <c r="AG1116" t="s">
        <v>43</v>
      </c>
      <c r="AH1116" s="2" t="s">
        <v>43</v>
      </c>
    </row>
    <row r="1117" spans="1:34" ht="60">
      <c r="A1117" s="6" t="s">
        <v>509</v>
      </c>
      <c r="B1117" s="7">
        <v>46038</v>
      </c>
      <c r="C1117" s="9" t="str">
        <f>HYPERLINK("https://eping.wto.org/en/Search?viewData= G/TBT/N/BDI/710, G/TBT/N/KEN/1978, G/TBT/N/RWA/1340, G/TBT/N/TZA/1490, G/TBT/N/UGA/2309"," G/TBT/N/BDI/710, G/TBT/N/KEN/1978, G/TBT/N/RWA/1340, G/TBT/N/TZA/1490, G/TBT/N/UGA/2309")</f>
        <v xml:space="preserve"> G/TBT/N/BDI/710, G/TBT/N/KEN/1978, G/TBT/N/RWA/1340, G/TBT/N/TZA/1490, G/TBT/N/UGA/2309</v>
      </c>
      <c r="D1117" s="8" t="s">
        <v>4382</v>
      </c>
      <c r="E1117" s="8" t="s">
        <v>4383</v>
      </c>
      <c r="F1117" s="8" t="s">
        <v>4384</v>
      </c>
      <c r="G1117" s="8" t="s">
        <v>43</v>
      </c>
      <c r="H1117" s="8" t="s">
        <v>4385</v>
      </c>
      <c r="I1117" s="8" t="s">
        <v>113</v>
      </c>
      <c r="J1117" s="8" t="s">
        <v>43</v>
      </c>
      <c r="K1117" s="8" t="s">
        <v>43</v>
      </c>
      <c r="L1117" s="6"/>
      <c r="M1117" s="7">
        <v>46098</v>
      </c>
      <c r="N1117" s="7" t="s">
        <v>79</v>
      </c>
      <c r="O1117" s="7" t="s">
        <v>114</v>
      </c>
      <c r="P1117" s="6" t="s">
        <v>62</v>
      </c>
      <c r="Q1117" s="8" t="s">
        <v>4386</v>
      </c>
      <c r="R1117" t="str">
        <f>HYPERLINK("https://docs.wto.org/imrd/directdoc.asp?DDFDocuments/t/G/TBTN26/BDI710.docx", "https://docs.wto.org/imrd/directdoc.asp?DDFDocuments/t/G/TBTN26/BDI710.docx")</f>
        <v>https://docs.wto.org/imrd/directdoc.asp?DDFDocuments/t/G/TBTN26/BDI710.docx</v>
      </c>
      <c r="S1117" t="str">
        <f>HYPERLINK("https://docs.wto.org/imrd/directdoc.asp?DDFDocuments/u/G/TBTN26/BDI710.docx", "https://docs.wto.org/imrd/directdoc.asp?DDFDocuments/u/G/TBTN26/BDI710.docx")</f>
        <v>https://docs.wto.org/imrd/directdoc.asp?DDFDocuments/u/G/TBTN26/BDI710.docx</v>
      </c>
      <c r="T1117" t="str">
        <f>HYPERLINK("https://docs.wto.org/imrd/directdoc.asp?DDFDocuments/v/G/TBTN26/BDI710.docx", "https://docs.wto.org/imrd/directdoc.asp?DDFDocuments/v/G/TBTN26/BDI710.docx")</f>
        <v>https://docs.wto.org/imrd/directdoc.asp?DDFDocuments/v/G/TBTN26/BDI710.docx</v>
      </c>
      <c r="U1117" t="s">
        <v>64</v>
      </c>
      <c r="V1117" t="s">
        <v>46</v>
      </c>
      <c r="W1117" t="s">
        <v>46</v>
      </c>
      <c r="X1117" t="s">
        <v>46</v>
      </c>
      <c r="Y1117" t="s">
        <v>46</v>
      </c>
      <c r="Z1117" t="s">
        <v>46</v>
      </c>
      <c r="AA1117" t="s">
        <v>46</v>
      </c>
      <c r="AB1117" s="2" t="s">
        <v>43</v>
      </c>
      <c r="AC1117" t="s">
        <v>43</v>
      </c>
      <c r="AD1117" t="s">
        <v>43</v>
      </c>
      <c r="AE1117" t="s">
        <v>43</v>
      </c>
      <c r="AF1117" t="s">
        <v>43</v>
      </c>
      <c r="AG1117" t="s">
        <v>43</v>
      </c>
      <c r="AH1117" s="2" t="s">
        <v>43</v>
      </c>
    </row>
    <row r="1118" spans="1:34" ht="405">
      <c r="A1118" s="6" t="s">
        <v>356</v>
      </c>
      <c r="B1118" s="7">
        <v>46038</v>
      </c>
      <c r="C1118" s="9" t="str">
        <f>HYPERLINK("https://eping.wto.org/en/Search?viewData= G/TBT/N/EU/1184"," G/TBT/N/EU/1184")</f>
        <v xml:space="preserve"> G/TBT/N/EU/1184</v>
      </c>
      <c r="D1118" s="8" t="s">
        <v>4387</v>
      </c>
      <c r="E1118" s="8" t="s">
        <v>4388</v>
      </c>
      <c r="F1118" s="8" t="s">
        <v>4389</v>
      </c>
      <c r="G1118" s="8" t="s">
        <v>43</v>
      </c>
      <c r="H1118" s="8" t="s">
        <v>43</v>
      </c>
      <c r="I1118" s="8" t="s">
        <v>2902</v>
      </c>
      <c r="J1118" s="8" t="s">
        <v>4390</v>
      </c>
      <c r="K1118" s="8" t="s">
        <v>43</v>
      </c>
      <c r="L1118" s="6"/>
      <c r="M1118" s="7">
        <v>46128</v>
      </c>
      <c r="N1118" s="7" t="s">
        <v>4391</v>
      </c>
      <c r="O1118" s="7" t="s">
        <v>4392</v>
      </c>
      <c r="P1118" s="6" t="s">
        <v>62</v>
      </c>
      <c r="Q1118" s="8" t="s">
        <v>4393</v>
      </c>
      <c r="R1118" t="str">
        <f>HYPERLINK("https://docs.wto.org/imrd/directdoc.asp?DDFDocuments/t/G/TBTN26/EU1184.docx", "https://docs.wto.org/imrd/directdoc.asp?DDFDocuments/t/G/TBTN26/EU1184.docx")</f>
        <v>https://docs.wto.org/imrd/directdoc.asp?DDFDocuments/t/G/TBTN26/EU1184.docx</v>
      </c>
      <c r="S1118" t="str">
        <f>HYPERLINK("https://docs.wto.org/imrd/directdoc.asp?DDFDocuments/u/G/TBTN26/EU1184.docx", "https://docs.wto.org/imrd/directdoc.asp?DDFDocuments/u/G/TBTN26/EU1184.docx")</f>
        <v>https://docs.wto.org/imrd/directdoc.asp?DDFDocuments/u/G/TBTN26/EU1184.docx</v>
      </c>
      <c r="T1118" t="str">
        <f>HYPERLINK("https://docs.wto.org/imrd/directdoc.asp?DDFDocuments/v/G/TBTN26/EU1184.docx", "https://docs.wto.org/imrd/directdoc.asp?DDFDocuments/v/G/TBTN26/EU1184.docx")</f>
        <v>https://docs.wto.org/imrd/directdoc.asp?DDFDocuments/v/G/TBTN26/EU1184.docx</v>
      </c>
      <c r="U1118" t="s">
        <v>64</v>
      </c>
      <c r="V1118" t="s">
        <v>46</v>
      </c>
      <c r="W1118" t="s">
        <v>64</v>
      </c>
      <c r="X1118" t="s">
        <v>46</v>
      </c>
      <c r="Y1118" t="s">
        <v>46</v>
      </c>
      <c r="Z1118" t="s">
        <v>46</v>
      </c>
      <c r="AA1118" t="s">
        <v>46</v>
      </c>
      <c r="AB1118" s="2" t="s">
        <v>4394</v>
      </c>
      <c r="AC1118" t="s">
        <v>43</v>
      </c>
      <c r="AD1118" t="s">
        <v>43</v>
      </c>
      <c r="AE1118" t="s">
        <v>43</v>
      </c>
      <c r="AF1118" t="s">
        <v>43</v>
      </c>
      <c r="AG1118" t="s">
        <v>43</v>
      </c>
      <c r="AH1118" s="2" t="s">
        <v>43</v>
      </c>
    </row>
    <row r="1119" spans="1:34" ht="75">
      <c r="A1119" s="6" t="s">
        <v>577</v>
      </c>
      <c r="B1119" s="7">
        <v>46038</v>
      </c>
      <c r="C1119" s="9" t="str">
        <f>HYPERLINK("https://eping.wto.org/en/Search?viewData= G/TBT/N/BDI/708, G/TBT/N/KEN/1976, G/TBT/N/RWA/1338, G/TBT/N/TZA/1488, G/TBT/N/UGA/2307"," G/TBT/N/BDI/708, G/TBT/N/KEN/1976, G/TBT/N/RWA/1338, G/TBT/N/TZA/1488, G/TBT/N/UGA/2307")</f>
        <v xml:space="preserve"> G/TBT/N/BDI/708, G/TBT/N/KEN/1976, G/TBT/N/RWA/1338, G/TBT/N/TZA/1488, G/TBT/N/UGA/2307</v>
      </c>
      <c r="D1119" s="8" t="s">
        <v>4395</v>
      </c>
      <c r="E1119" s="8" t="s">
        <v>4396</v>
      </c>
      <c r="F1119" s="8" t="s">
        <v>4365</v>
      </c>
      <c r="G1119" s="8" t="s">
        <v>43</v>
      </c>
      <c r="H1119" s="8" t="s">
        <v>4366</v>
      </c>
      <c r="I1119" s="8" t="s">
        <v>113</v>
      </c>
      <c r="J1119" s="8" t="s">
        <v>43</v>
      </c>
      <c r="K1119" s="8" t="s">
        <v>43</v>
      </c>
      <c r="L1119" s="6"/>
      <c r="M1119" s="7">
        <v>46098</v>
      </c>
      <c r="N1119" s="7" t="s">
        <v>79</v>
      </c>
      <c r="O1119" s="7" t="s">
        <v>114</v>
      </c>
      <c r="P1119" s="6" t="s">
        <v>62</v>
      </c>
      <c r="Q1119" s="8" t="s">
        <v>4397</v>
      </c>
      <c r="R1119" t="str">
        <f>HYPERLINK("https://docs.wto.org/imrd/directdoc.asp?DDFDocuments/t/G/TBTN26/BDI708.docx", "https://docs.wto.org/imrd/directdoc.asp?DDFDocuments/t/G/TBTN26/BDI708.docx")</f>
        <v>https://docs.wto.org/imrd/directdoc.asp?DDFDocuments/t/G/TBTN26/BDI708.docx</v>
      </c>
      <c r="S1119" t="str">
        <f>HYPERLINK("https://docs.wto.org/imrd/directdoc.asp?DDFDocuments/u/G/TBTN26/BDI708.docx", "https://docs.wto.org/imrd/directdoc.asp?DDFDocuments/u/G/TBTN26/BDI708.docx")</f>
        <v>https://docs.wto.org/imrd/directdoc.asp?DDFDocuments/u/G/TBTN26/BDI708.docx</v>
      </c>
      <c r="T1119" t="str">
        <f>HYPERLINK("https://docs.wto.org/imrd/directdoc.asp?DDFDocuments/v/G/TBTN26/BDI708.docx", "https://docs.wto.org/imrd/directdoc.asp?DDFDocuments/v/G/TBTN26/BDI708.docx")</f>
        <v>https://docs.wto.org/imrd/directdoc.asp?DDFDocuments/v/G/TBTN26/BDI708.docx</v>
      </c>
      <c r="U1119" t="s">
        <v>64</v>
      </c>
      <c r="V1119" t="s">
        <v>46</v>
      </c>
      <c r="W1119" t="s">
        <v>46</v>
      </c>
      <c r="X1119" t="s">
        <v>46</v>
      </c>
      <c r="Y1119" t="s">
        <v>46</v>
      </c>
      <c r="Z1119" t="s">
        <v>46</v>
      </c>
      <c r="AA1119" t="s">
        <v>46</v>
      </c>
      <c r="AB1119" s="2" t="s">
        <v>4398</v>
      </c>
      <c r="AC1119" t="s">
        <v>43</v>
      </c>
      <c r="AD1119" t="s">
        <v>43</v>
      </c>
      <c r="AE1119" t="s">
        <v>43</v>
      </c>
      <c r="AF1119" t="s">
        <v>43</v>
      </c>
      <c r="AG1119" t="s">
        <v>43</v>
      </c>
      <c r="AH1119" s="2" t="s">
        <v>43</v>
      </c>
    </row>
    <row r="1120" spans="1:34" ht="60">
      <c r="A1120" s="6" t="s">
        <v>390</v>
      </c>
      <c r="B1120" s="7">
        <v>46038</v>
      </c>
      <c r="C1120" s="9" t="str">
        <f>HYPERLINK("https://eping.wto.org/en/Search?viewData= G/TBT/N/BDI/710, G/TBT/N/KEN/1978, G/TBT/N/RWA/1340, G/TBT/N/TZA/1490, G/TBT/N/UGA/2309"," G/TBT/N/BDI/710, G/TBT/N/KEN/1978, G/TBT/N/RWA/1340, G/TBT/N/TZA/1490, G/TBT/N/UGA/2309")</f>
        <v xml:space="preserve"> G/TBT/N/BDI/710, G/TBT/N/KEN/1978, G/TBT/N/RWA/1340, G/TBT/N/TZA/1490, G/TBT/N/UGA/2309</v>
      </c>
      <c r="D1120" s="8" t="s">
        <v>4382</v>
      </c>
      <c r="E1120" s="8" t="s">
        <v>4383</v>
      </c>
      <c r="F1120" s="8" t="s">
        <v>4384</v>
      </c>
      <c r="G1120" s="8" t="s">
        <v>43</v>
      </c>
      <c r="H1120" s="8" t="s">
        <v>4385</v>
      </c>
      <c r="I1120" s="8" t="s">
        <v>113</v>
      </c>
      <c r="J1120" s="8" t="s">
        <v>43</v>
      </c>
      <c r="K1120" s="8" t="s">
        <v>43</v>
      </c>
      <c r="L1120" s="6"/>
      <c r="M1120" s="7">
        <v>46098</v>
      </c>
      <c r="N1120" s="7" t="s">
        <v>79</v>
      </c>
      <c r="O1120" s="7" t="s">
        <v>114</v>
      </c>
      <c r="P1120" s="6" t="s">
        <v>62</v>
      </c>
      <c r="Q1120" s="8" t="s">
        <v>4386</v>
      </c>
      <c r="R1120" t="str">
        <f>HYPERLINK("https://docs.wto.org/imrd/directdoc.asp?DDFDocuments/t/G/TBTN26/BDI710.docx", "https://docs.wto.org/imrd/directdoc.asp?DDFDocuments/t/G/TBTN26/BDI710.docx")</f>
        <v>https://docs.wto.org/imrd/directdoc.asp?DDFDocuments/t/G/TBTN26/BDI710.docx</v>
      </c>
      <c r="S1120" t="str">
        <f>HYPERLINK("https://docs.wto.org/imrd/directdoc.asp?DDFDocuments/u/G/TBTN26/BDI710.docx", "https://docs.wto.org/imrd/directdoc.asp?DDFDocuments/u/G/TBTN26/BDI710.docx")</f>
        <v>https://docs.wto.org/imrd/directdoc.asp?DDFDocuments/u/G/TBTN26/BDI710.docx</v>
      </c>
      <c r="T1120" t="str">
        <f>HYPERLINK("https://docs.wto.org/imrd/directdoc.asp?DDFDocuments/v/G/TBTN26/BDI710.docx", "https://docs.wto.org/imrd/directdoc.asp?DDFDocuments/v/G/TBTN26/BDI710.docx")</f>
        <v>https://docs.wto.org/imrd/directdoc.asp?DDFDocuments/v/G/TBTN26/BDI710.docx</v>
      </c>
      <c r="U1120" t="s">
        <v>64</v>
      </c>
      <c r="V1120" t="s">
        <v>46</v>
      </c>
      <c r="W1120" t="s">
        <v>46</v>
      </c>
      <c r="X1120" t="s">
        <v>46</v>
      </c>
      <c r="Y1120" t="s">
        <v>46</v>
      </c>
      <c r="Z1120" t="s">
        <v>46</v>
      </c>
      <c r="AA1120" t="s">
        <v>46</v>
      </c>
      <c r="AB1120" s="2" t="s">
        <v>43</v>
      </c>
      <c r="AC1120" t="s">
        <v>43</v>
      </c>
      <c r="AD1120" t="s">
        <v>43</v>
      </c>
      <c r="AE1120" t="s">
        <v>43</v>
      </c>
      <c r="AF1120" t="s">
        <v>43</v>
      </c>
      <c r="AG1120" t="s">
        <v>43</v>
      </c>
      <c r="AH1120" s="2" t="s">
        <v>43</v>
      </c>
    </row>
    <row r="1121" spans="1:34" ht="45">
      <c r="A1121" s="6" t="s">
        <v>390</v>
      </c>
      <c r="B1121" s="7">
        <v>46038</v>
      </c>
      <c r="C1121" s="9" t="str">
        <f>HYPERLINK("https://eping.wto.org/en/Search?viewData= G/SPS/N/TZA/493"," G/SPS/N/TZA/493")</f>
        <v xml:space="preserve"> G/SPS/N/TZA/493</v>
      </c>
      <c r="D1121" s="8" t="s">
        <v>4399</v>
      </c>
      <c r="E1121" s="8" t="s">
        <v>4400</v>
      </c>
      <c r="F1121" s="8" t="s">
        <v>4348</v>
      </c>
      <c r="G1121" s="8" t="s">
        <v>4192</v>
      </c>
      <c r="H1121" s="8" t="s">
        <v>274</v>
      </c>
      <c r="I1121" s="8" t="s">
        <v>58</v>
      </c>
      <c r="J1121" s="8" t="s">
        <v>43</v>
      </c>
      <c r="K1121" s="8" t="s">
        <v>2405</v>
      </c>
      <c r="L1121" s="6" t="s">
        <v>43</v>
      </c>
      <c r="M1121" s="7">
        <v>46098</v>
      </c>
      <c r="N1121" s="7" t="s">
        <v>396</v>
      </c>
      <c r="O1121" s="7" t="s">
        <v>304</v>
      </c>
      <c r="P1121" s="6" t="s">
        <v>62</v>
      </c>
      <c r="Q1121" s="8" t="s">
        <v>4401</v>
      </c>
      <c r="R1121" t="str">
        <f>HYPERLINK("https://docs.wto.org/imrd/directdoc.asp?DDFDocuments/t/G/SPS/NTZA493.docx", "https://docs.wto.org/imrd/directdoc.asp?DDFDocuments/t/G/SPS/NTZA493.docx")</f>
        <v>https://docs.wto.org/imrd/directdoc.asp?DDFDocuments/t/G/SPS/NTZA493.docx</v>
      </c>
      <c r="S1121" t="str">
        <f>HYPERLINK("https://docs.wto.org/imrd/directdoc.asp?DDFDocuments/u/G/SPS/NTZA493.docx", "https://docs.wto.org/imrd/directdoc.asp?DDFDocuments/u/G/SPS/NTZA493.docx")</f>
        <v>https://docs.wto.org/imrd/directdoc.asp?DDFDocuments/u/G/SPS/NTZA493.docx</v>
      </c>
      <c r="T1121" t="str">
        <f>HYPERLINK("https://docs.wto.org/imrd/directdoc.asp?DDFDocuments/v/G/SPS/NTZA493.docx", "https://docs.wto.org/imrd/directdoc.asp?DDFDocuments/v/G/SPS/NTZA493.docx")</f>
        <v>https://docs.wto.org/imrd/directdoc.asp?DDFDocuments/v/G/SPS/NTZA493.docx</v>
      </c>
      <c r="U1121" t="s">
        <v>43</v>
      </c>
      <c r="V1121" t="s">
        <v>43</v>
      </c>
      <c r="W1121" t="s">
        <v>43</v>
      </c>
      <c r="X1121" t="s">
        <v>43</v>
      </c>
      <c r="Y1121" t="s">
        <v>43</v>
      </c>
      <c r="Z1121" t="s">
        <v>43</v>
      </c>
      <c r="AA1121" t="s">
        <v>43</v>
      </c>
      <c r="AB1121" s="2" t="s">
        <v>43</v>
      </c>
      <c r="AC1121" t="s">
        <v>46</v>
      </c>
      <c r="AD1121" t="s">
        <v>46</v>
      </c>
      <c r="AE1121" t="s">
        <v>46</v>
      </c>
      <c r="AF1121" t="s">
        <v>64</v>
      </c>
      <c r="AG1121" t="s">
        <v>99</v>
      </c>
      <c r="AH1121" s="2" t="s">
        <v>43</v>
      </c>
    </row>
    <row r="1122" spans="1:34" ht="45">
      <c r="A1122" s="6" t="s">
        <v>124</v>
      </c>
      <c r="B1122" s="7">
        <v>46038</v>
      </c>
      <c r="C1122" s="9" t="str">
        <f>HYPERLINK("https://eping.wto.org/en/Search?viewData= G/TBT/N/BDI/707, G/TBT/N/KEN/1975, G/TBT/N/RWA/1337, G/TBT/N/TZA/1487, G/TBT/N/UGA/2306"," G/TBT/N/BDI/707, G/TBT/N/KEN/1975, G/TBT/N/RWA/1337, G/TBT/N/TZA/1487, G/TBT/N/UGA/2306")</f>
        <v xml:space="preserve"> G/TBT/N/BDI/707, G/TBT/N/KEN/1975, G/TBT/N/RWA/1337, G/TBT/N/TZA/1487, G/TBT/N/UGA/2306</v>
      </c>
      <c r="D1122" s="8" t="s">
        <v>4363</v>
      </c>
      <c r="E1122" s="8" t="s">
        <v>4364</v>
      </c>
      <c r="F1122" s="8" t="s">
        <v>4365</v>
      </c>
      <c r="G1122" s="8" t="s">
        <v>43</v>
      </c>
      <c r="H1122" s="8" t="s">
        <v>4366</v>
      </c>
      <c r="I1122" s="8" t="s">
        <v>113</v>
      </c>
      <c r="J1122" s="8" t="s">
        <v>43</v>
      </c>
      <c r="K1122" s="8" t="s">
        <v>43</v>
      </c>
      <c r="L1122" s="6"/>
      <c r="M1122" s="7">
        <v>46098</v>
      </c>
      <c r="N1122" s="7" t="s">
        <v>79</v>
      </c>
      <c r="O1122" s="7" t="s">
        <v>114</v>
      </c>
      <c r="P1122" s="6" t="s">
        <v>62</v>
      </c>
      <c r="Q1122" s="8" t="s">
        <v>4367</v>
      </c>
      <c r="R1122" t="str">
        <f>HYPERLINK("https://docs.wto.org/imrd/directdoc.asp?DDFDocuments/t/G/TBTN26/BDI707.docx", "https://docs.wto.org/imrd/directdoc.asp?DDFDocuments/t/G/TBTN26/BDI707.docx")</f>
        <v>https://docs.wto.org/imrd/directdoc.asp?DDFDocuments/t/G/TBTN26/BDI707.docx</v>
      </c>
      <c r="S1122" t="str">
        <f>HYPERLINK("https://docs.wto.org/imrd/directdoc.asp?DDFDocuments/u/G/TBTN26/BDI707.docx", "https://docs.wto.org/imrd/directdoc.asp?DDFDocuments/u/G/TBTN26/BDI707.docx")</f>
        <v>https://docs.wto.org/imrd/directdoc.asp?DDFDocuments/u/G/TBTN26/BDI707.docx</v>
      </c>
      <c r="T1122" t="str">
        <f>HYPERLINK("https://docs.wto.org/imrd/directdoc.asp?DDFDocuments/v/G/TBTN26/BDI707.docx", "https://docs.wto.org/imrd/directdoc.asp?DDFDocuments/v/G/TBTN26/BDI707.docx")</f>
        <v>https://docs.wto.org/imrd/directdoc.asp?DDFDocuments/v/G/TBTN26/BDI707.docx</v>
      </c>
      <c r="U1122" t="s">
        <v>64</v>
      </c>
      <c r="V1122" t="s">
        <v>46</v>
      </c>
      <c r="W1122" t="s">
        <v>46</v>
      </c>
      <c r="X1122" t="s">
        <v>46</v>
      </c>
      <c r="Y1122" t="s">
        <v>46</v>
      </c>
      <c r="Z1122" t="s">
        <v>46</v>
      </c>
      <c r="AA1122" t="s">
        <v>46</v>
      </c>
      <c r="AB1122" s="2" t="s">
        <v>4368</v>
      </c>
      <c r="AC1122" t="s">
        <v>43</v>
      </c>
      <c r="AD1122" t="s">
        <v>43</v>
      </c>
      <c r="AE1122" t="s">
        <v>43</v>
      </c>
      <c r="AF1122" t="s">
        <v>43</v>
      </c>
      <c r="AG1122" t="s">
        <v>43</v>
      </c>
      <c r="AH1122" s="2" t="s">
        <v>43</v>
      </c>
    </row>
    <row r="1123" spans="1:34" ht="45">
      <c r="A1123" s="6" t="s">
        <v>108</v>
      </c>
      <c r="B1123" s="7">
        <v>46038</v>
      </c>
      <c r="C1123" s="9" t="str">
        <f>HYPERLINK("https://eping.wto.org/en/Search?viewData= G/TBT/N/BDI/711, G/TBT/N/KEN/1979, G/TBT/N/RWA/1341, G/TBT/N/TZA/1491, G/TBT/N/UGA/2310"," G/TBT/N/BDI/711, G/TBT/N/KEN/1979, G/TBT/N/RWA/1341, G/TBT/N/TZA/1491, G/TBT/N/UGA/2310")</f>
        <v xml:space="preserve"> G/TBT/N/BDI/711, G/TBT/N/KEN/1979, G/TBT/N/RWA/1341, G/TBT/N/TZA/1491, G/TBT/N/UGA/2310</v>
      </c>
      <c r="D1123" s="8" t="s">
        <v>4402</v>
      </c>
      <c r="E1123" s="8" t="s">
        <v>4403</v>
      </c>
      <c r="F1123" s="8" t="s">
        <v>4404</v>
      </c>
      <c r="G1123" s="8" t="s">
        <v>43</v>
      </c>
      <c r="H1123" s="8" t="s">
        <v>4405</v>
      </c>
      <c r="I1123" s="8" t="s">
        <v>113</v>
      </c>
      <c r="J1123" s="8" t="s">
        <v>43</v>
      </c>
      <c r="K1123" s="8" t="s">
        <v>43</v>
      </c>
      <c r="L1123" s="6"/>
      <c r="M1123" s="7">
        <v>46098</v>
      </c>
      <c r="N1123" s="7" t="s">
        <v>79</v>
      </c>
      <c r="O1123" s="7" t="s">
        <v>114</v>
      </c>
      <c r="P1123" s="6" t="s">
        <v>62</v>
      </c>
      <c r="Q1123" s="8" t="s">
        <v>4406</v>
      </c>
      <c r="R1123" t="str">
        <f>HYPERLINK("https://docs.wto.org/imrd/directdoc.asp?DDFDocuments/t/G/TBTN26/BDI711.docx", "https://docs.wto.org/imrd/directdoc.asp?DDFDocuments/t/G/TBTN26/BDI711.docx")</f>
        <v>https://docs.wto.org/imrd/directdoc.asp?DDFDocuments/t/G/TBTN26/BDI711.docx</v>
      </c>
      <c r="S1123" t="str">
        <f>HYPERLINK("https://docs.wto.org/imrd/directdoc.asp?DDFDocuments/u/G/TBTN26/BDI711.docx", "https://docs.wto.org/imrd/directdoc.asp?DDFDocuments/u/G/TBTN26/BDI711.docx")</f>
        <v>https://docs.wto.org/imrd/directdoc.asp?DDFDocuments/u/G/TBTN26/BDI711.docx</v>
      </c>
      <c r="T1123" t="str">
        <f>HYPERLINK("https://docs.wto.org/imrd/directdoc.asp?DDFDocuments/v/G/TBTN26/BDI711.docx", "https://docs.wto.org/imrd/directdoc.asp?DDFDocuments/v/G/TBTN26/BDI711.docx")</f>
        <v>https://docs.wto.org/imrd/directdoc.asp?DDFDocuments/v/G/TBTN26/BDI711.docx</v>
      </c>
      <c r="U1123" t="s">
        <v>64</v>
      </c>
      <c r="V1123" t="s">
        <v>46</v>
      </c>
      <c r="W1123" t="s">
        <v>46</v>
      </c>
      <c r="X1123" t="s">
        <v>46</v>
      </c>
      <c r="Y1123" t="s">
        <v>46</v>
      </c>
      <c r="Z1123" t="s">
        <v>46</v>
      </c>
      <c r="AA1123" t="s">
        <v>46</v>
      </c>
      <c r="AB1123" s="2" t="s">
        <v>43</v>
      </c>
      <c r="AC1123" t="s">
        <v>43</v>
      </c>
      <c r="AD1123" t="s">
        <v>43</v>
      </c>
      <c r="AE1123" t="s">
        <v>43</v>
      </c>
      <c r="AF1123" t="s">
        <v>43</v>
      </c>
      <c r="AG1123" t="s">
        <v>43</v>
      </c>
      <c r="AH1123" s="2" t="s">
        <v>43</v>
      </c>
    </row>
    <row r="1124" spans="1:34" ht="60">
      <c r="A1124" s="6" t="s">
        <v>577</v>
      </c>
      <c r="B1124" s="7">
        <v>46038</v>
      </c>
      <c r="C1124" s="9" t="str">
        <f>HYPERLINK("https://eping.wto.org/en/Search?viewData= G/TBT/N/BDI/710, G/TBT/N/KEN/1978, G/TBT/N/RWA/1340, G/TBT/N/TZA/1490, G/TBT/N/UGA/2309"," G/TBT/N/BDI/710, G/TBT/N/KEN/1978, G/TBT/N/RWA/1340, G/TBT/N/TZA/1490, G/TBT/N/UGA/2309")</f>
        <v xml:space="preserve"> G/TBT/N/BDI/710, G/TBT/N/KEN/1978, G/TBT/N/RWA/1340, G/TBT/N/TZA/1490, G/TBT/N/UGA/2309</v>
      </c>
      <c r="D1124" s="8" t="s">
        <v>4382</v>
      </c>
      <c r="E1124" s="8" t="s">
        <v>4383</v>
      </c>
      <c r="F1124" s="8" t="s">
        <v>4384</v>
      </c>
      <c r="G1124" s="8" t="s">
        <v>43</v>
      </c>
      <c r="H1124" s="8" t="s">
        <v>4385</v>
      </c>
      <c r="I1124" s="8" t="s">
        <v>113</v>
      </c>
      <c r="J1124" s="8" t="s">
        <v>43</v>
      </c>
      <c r="K1124" s="8" t="s">
        <v>43</v>
      </c>
      <c r="L1124" s="6"/>
      <c r="M1124" s="7">
        <v>46098</v>
      </c>
      <c r="N1124" s="7" t="s">
        <v>79</v>
      </c>
      <c r="O1124" s="7" t="s">
        <v>114</v>
      </c>
      <c r="P1124" s="6" t="s">
        <v>62</v>
      </c>
      <c r="Q1124" s="8" t="s">
        <v>4386</v>
      </c>
      <c r="R1124" t="str">
        <f>HYPERLINK("https://docs.wto.org/imrd/directdoc.asp?DDFDocuments/t/G/TBTN26/BDI710.docx", "https://docs.wto.org/imrd/directdoc.asp?DDFDocuments/t/G/TBTN26/BDI710.docx")</f>
        <v>https://docs.wto.org/imrd/directdoc.asp?DDFDocuments/t/G/TBTN26/BDI710.docx</v>
      </c>
      <c r="S1124" t="str">
        <f>HYPERLINK("https://docs.wto.org/imrd/directdoc.asp?DDFDocuments/u/G/TBTN26/BDI710.docx", "https://docs.wto.org/imrd/directdoc.asp?DDFDocuments/u/G/TBTN26/BDI710.docx")</f>
        <v>https://docs.wto.org/imrd/directdoc.asp?DDFDocuments/u/G/TBTN26/BDI710.docx</v>
      </c>
      <c r="T1124" t="str">
        <f>HYPERLINK("https://docs.wto.org/imrd/directdoc.asp?DDFDocuments/v/G/TBTN26/BDI710.docx", "https://docs.wto.org/imrd/directdoc.asp?DDFDocuments/v/G/TBTN26/BDI710.docx")</f>
        <v>https://docs.wto.org/imrd/directdoc.asp?DDFDocuments/v/G/TBTN26/BDI710.docx</v>
      </c>
      <c r="U1124" t="s">
        <v>64</v>
      </c>
      <c r="V1124" t="s">
        <v>46</v>
      </c>
      <c r="W1124" t="s">
        <v>46</v>
      </c>
      <c r="X1124" t="s">
        <v>46</v>
      </c>
      <c r="Y1124" t="s">
        <v>46</v>
      </c>
      <c r="Z1124" t="s">
        <v>46</v>
      </c>
      <c r="AA1124" t="s">
        <v>46</v>
      </c>
      <c r="AB1124" s="2" t="s">
        <v>43</v>
      </c>
      <c r="AC1124" t="s">
        <v>43</v>
      </c>
      <c r="AD1124" t="s">
        <v>43</v>
      </c>
      <c r="AE1124" t="s">
        <v>43</v>
      </c>
      <c r="AF1124" t="s">
        <v>43</v>
      </c>
      <c r="AG1124" t="s">
        <v>43</v>
      </c>
      <c r="AH1124" s="2" t="s">
        <v>43</v>
      </c>
    </row>
    <row r="1125" spans="1:34" ht="45">
      <c r="A1125" s="6" t="s">
        <v>390</v>
      </c>
      <c r="B1125" s="7">
        <v>46038</v>
      </c>
      <c r="C1125" s="9" t="str">
        <f>HYPERLINK("https://eping.wto.org/en/Search?viewData= G/TBT/N/BDI/711, G/TBT/N/KEN/1979, G/TBT/N/RWA/1341, G/TBT/N/TZA/1491, G/TBT/N/UGA/2310"," G/TBT/N/BDI/711, G/TBT/N/KEN/1979, G/TBT/N/RWA/1341, G/TBT/N/TZA/1491, G/TBT/N/UGA/2310")</f>
        <v xml:space="preserve"> G/TBT/N/BDI/711, G/TBT/N/KEN/1979, G/TBT/N/RWA/1341, G/TBT/N/TZA/1491, G/TBT/N/UGA/2310</v>
      </c>
      <c r="D1125" s="8" t="s">
        <v>4402</v>
      </c>
      <c r="E1125" s="8" t="s">
        <v>4403</v>
      </c>
      <c r="F1125" s="8" t="s">
        <v>4404</v>
      </c>
      <c r="G1125" s="8" t="s">
        <v>43</v>
      </c>
      <c r="H1125" s="8" t="s">
        <v>4405</v>
      </c>
      <c r="I1125" s="8" t="s">
        <v>113</v>
      </c>
      <c r="J1125" s="8" t="s">
        <v>43</v>
      </c>
      <c r="K1125" s="8" t="s">
        <v>43</v>
      </c>
      <c r="L1125" s="6"/>
      <c r="M1125" s="7">
        <v>46098</v>
      </c>
      <c r="N1125" s="7" t="s">
        <v>79</v>
      </c>
      <c r="O1125" s="7" t="s">
        <v>114</v>
      </c>
      <c r="P1125" s="6" t="s">
        <v>62</v>
      </c>
      <c r="Q1125" s="8" t="s">
        <v>4406</v>
      </c>
      <c r="R1125" t="str">
        <f>HYPERLINK("https://docs.wto.org/imrd/directdoc.asp?DDFDocuments/t/G/TBTN26/BDI711.docx", "https://docs.wto.org/imrd/directdoc.asp?DDFDocuments/t/G/TBTN26/BDI711.docx")</f>
        <v>https://docs.wto.org/imrd/directdoc.asp?DDFDocuments/t/G/TBTN26/BDI711.docx</v>
      </c>
      <c r="S1125" t="str">
        <f>HYPERLINK("https://docs.wto.org/imrd/directdoc.asp?DDFDocuments/u/G/TBTN26/BDI711.docx", "https://docs.wto.org/imrd/directdoc.asp?DDFDocuments/u/G/TBTN26/BDI711.docx")</f>
        <v>https://docs.wto.org/imrd/directdoc.asp?DDFDocuments/u/G/TBTN26/BDI711.docx</v>
      </c>
      <c r="T1125" t="str">
        <f>HYPERLINK("https://docs.wto.org/imrd/directdoc.asp?DDFDocuments/v/G/TBTN26/BDI711.docx", "https://docs.wto.org/imrd/directdoc.asp?DDFDocuments/v/G/TBTN26/BDI711.docx")</f>
        <v>https://docs.wto.org/imrd/directdoc.asp?DDFDocuments/v/G/TBTN26/BDI711.docx</v>
      </c>
      <c r="U1125" t="s">
        <v>64</v>
      </c>
      <c r="V1125" t="s">
        <v>46</v>
      </c>
      <c r="W1125" t="s">
        <v>46</v>
      </c>
      <c r="X1125" t="s">
        <v>46</v>
      </c>
      <c r="Y1125" t="s">
        <v>46</v>
      </c>
      <c r="Z1125" t="s">
        <v>46</v>
      </c>
      <c r="AA1125" t="s">
        <v>46</v>
      </c>
      <c r="AB1125" s="2" t="s">
        <v>43</v>
      </c>
      <c r="AC1125" t="s">
        <v>43</v>
      </c>
      <c r="AD1125" t="s">
        <v>43</v>
      </c>
      <c r="AE1125" t="s">
        <v>43</v>
      </c>
      <c r="AF1125" t="s">
        <v>43</v>
      </c>
      <c r="AG1125" t="s">
        <v>43</v>
      </c>
      <c r="AH1125" s="2" t="s">
        <v>43</v>
      </c>
    </row>
    <row r="1126" spans="1:34" ht="45">
      <c r="A1126" s="6" t="s">
        <v>390</v>
      </c>
      <c r="B1126" s="7">
        <v>46038</v>
      </c>
      <c r="C1126" s="9" t="str">
        <f>HYPERLINK("https://eping.wto.org/en/Search?viewData= G/SPS/N/TZA/492"," G/SPS/N/TZA/492")</f>
        <v xml:space="preserve"> G/SPS/N/TZA/492</v>
      </c>
      <c r="D1126" s="8" t="s">
        <v>4407</v>
      </c>
      <c r="E1126" s="8" t="s">
        <v>4408</v>
      </c>
      <c r="F1126" s="8" t="s">
        <v>4409</v>
      </c>
      <c r="G1126" s="8" t="s">
        <v>4192</v>
      </c>
      <c r="H1126" s="8" t="s">
        <v>4410</v>
      </c>
      <c r="I1126" s="8" t="s">
        <v>58</v>
      </c>
      <c r="J1126" s="8" t="s">
        <v>43</v>
      </c>
      <c r="K1126" s="8" t="s">
        <v>2405</v>
      </c>
      <c r="L1126" s="6" t="s">
        <v>43</v>
      </c>
      <c r="M1126" s="7">
        <v>46098</v>
      </c>
      <c r="N1126" s="7" t="s">
        <v>396</v>
      </c>
      <c r="O1126" s="7" t="s">
        <v>304</v>
      </c>
      <c r="P1126" s="6" t="s">
        <v>62</v>
      </c>
      <c r="Q1126" s="8" t="s">
        <v>4411</v>
      </c>
      <c r="R1126" t="str">
        <f>HYPERLINK("https://docs.wto.org/imrd/directdoc.asp?DDFDocuments/t/G/SPS/NTZA492.docx", "https://docs.wto.org/imrd/directdoc.asp?DDFDocuments/t/G/SPS/NTZA492.docx")</f>
        <v>https://docs.wto.org/imrd/directdoc.asp?DDFDocuments/t/G/SPS/NTZA492.docx</v>
      </c>
      <c r="S1126" t="str">
        <f>HYPERLINK("https://docs.wto.org/imrd/directdoc.asp?DDFDocuments/u/G/SPS/NTZA492.docx", "https://docs.wto.org/imrd/directdoc.asp?DDFDocuments/u/G/SPS/NTZA492.docx")</f>
        <v>https://docs.wto.org/imrd/directdoc.asp?DDFDocuments/u/G/SPS/NTZA492.docx</v>
      </c>
      <c r="T1126" t="str">
        <f>HYPERLINK("https://docs.wto.org/imrd/directdoc.asp?DDFDocuments/v/G/SPS/NTZA492.docx", "https://docs.wto.org/imrd/directdoc.asp?DDFDocuments/v/G/SPS/NTZA492.docx")</f>
        <v>https://docs.wto.org/imrd/directdoc.asp?DDFDocuments/v/G/SPS/NTZA492.docx</v>
      </c>
      <c r="U1126" t="s">
        <v>43</v>
      </c>
      <c r="V1126" t="s">
        <v>43</v>
      </c>
      <c r="W1126" t="s">
        <v>43</v>
      </c>
      <c r="X1126" t="s">
        <v>43</v>
      </c>
      <c r="Y1126" t="s">
        <v>43</v>
      </c>
      <c r="Z1126" t="s">
        <v>43</v>
      </c>
      <c r="AA1126" t="s">
        <v>43</v>
      </c>
      <c r="AB1126" s="2" t="s">
        <v>43</v>
      </c>
      <c r="AC1126" t="s">
        <v>46</v>
      </c>
      <c r="AD1126" t="s">
        <v>46</v>
      </c>
      <c r="AE1126" t="s">
        <v>46</v>
      </c>
      <c r="AF1126" t="s">
        <v>64</v>
      </c>
      <c r="AG1126" t="s">
        <v>99</v>
      </c>
      <c r="AH1126" s="2" t="s">
        <v>43</v>
      </c>
    </row>
    <row r="1127" spans="1:34" ht="240">
      <c r="A1127" s="6" t="s">
        <v>132</v>
      </c>
      <c r="B1127" s="7">
        <v>46038</v>
      </c>
      <c r="C1127" s="9" t="str">
        <f>HYPERLINK("https://eping.wto.org/en/Search?viewData= G/TBT/N/USA/1697/Add.5"," G/TBT/N/USA/1697/Add.5")</f>
        <v xml:space="preserve"> G/TBT/N/USA/1697/Add.5</v>
      </c>
      <c r="D1127" s="8" t="s">
        <v>4412</v>
      </c>
      <c r="E1127" s="8" t="s">
        <v>4413</v>
      </c>
      <c r="F1127" s="8" t="s">
        <v>2617</v>
      </c>
      <c r="G1127" s="8" t="s">
        <v>4414</v>
      </c>
      <c r="H1127" s="8" t="s">
        <v>4415</v>
      </c>
      <c r="I1127" s="8" t="s">
        <v>1261</v>
      </c>
      <c r="J1127" s="8" t="s">
        <v>43</v>
      </c>
      <c r="K1127" s="8" t="s">
        <v>43</v>
      </c>
      <c r="L1127" s="6"/>
      <c r="M1127" s="7" t="s">
        <v>43</v>
      </c>
      <c r="N1127" s="7"/>
      <c r="O1127" s="7"/>
      <c r="P1127" s="6" t="s">
        <v>44</v>
      </c>
      <c r="Q1127" s="8" t="s">
        <v>4416</v>
      </c>
      <c r="R1127" t="str">
        <f>HYPERLINK("https://docs.wto.org/imrd/directdoc.asp?DDFDocuments/t/G/TBTN21/USA1697A5.docx", "https://docs.wto.org/imrd/directdoc.asp?DDFDocuments/t/G/TBTN21/USA1697A5.docx")</f>
        <v>https://docs.wto.org/imrd/directdoc.asp?DDFDocuments/t/G/TBTN21/USA1697A5.docx</v>
      </c>
      <c r="S1127" t="str">
        <f>HYPERLINK("https://docs.wto.org/imrd/directdoc.asp?DDFDocuments/u/G/TBTN21/USA1697A5.docx", "https://docs.wto.org/imrd/directdoc.asp?DDFDocuments/u/G/TBTN21/USA1697A5.docx")</f>
        <v>https://docs.wto.org/imrd/directdoc.asp?DDFDocuments/u/G/TBTN21/USA1697A5.docx</v>
      </c>
      <c r="T1127" t="str">
        <f>HYPERLINK("https://docs.wto.org/imrd/directdoc.asp?DDFDocuments/v/G/TBTN21/USA1697A5.docx", "https://docs.wto.org/imrd/directdoc.asp?DDFDocuments/v/G/TBTN21/USA1697A5.docx")</f>
        <v>https://docs.wto.org/imrd/directdoc.asp?DDFDocuments/v/G/TBTN21/USA1697A5.docx</v>
      </c>
      <c r="U1127" t="s">
        <v>46</v>
      </c>
      <c r="V1127" t="s">
        <v>46</v>
      </c>
      <c r="W1127" t="s">
        <v>46</v>
      </c>
      <c r="X1127" t="s">
        <v>46</v>
      </c>
      <c r="Y1127" t="s">
        <v>46</v>
      </c>
      <c r="Z1127" t="s">
        <v>46</v>
      </c>
      <c r="AA1127" t="s">
        <v>64</v>
      </c>
      <c r="AB1127" s="2" t="s">
        <v>43</v>
      </c>
      <c r="AC1127" t="s">
        <v>43</v>
      </c>
      <c r="AD1127" t="s">
        <v>43</v>
      </c>
      <c r="AE1127" t="s">
        <v>43</v>
      </c>
      <c r="AF1127" t="s">
        <v>43</v>
      </c>
      <c r="AG1127" t="s">
        <v>43</v>
      </c>
      <c r="AH1127" s="2" t="s">
        <v>43</v>
      </c>
    </row>
    <row r="1128" spans="1:34" ht="45">
      <c r="A1128" s="6" t="s">
        <v>577</v>
      </c>
      <c r="B1128" s="7">
        <v>46038</v>
      </c>
      <c r="C1128" s="9" t="str">
        <f>HYPERLINK("https://eping.wto.org/en/Search?viewData= G/TBT/N/BDI/711, G/TBT/N/KEN/1979, G/TBT/N/RWA/1341, G/TBT/N/TZA/1491, G/TBT/N/UGA/2310"," G/TBT/N/BDI/711, G/TBT/N/KEN/1979, G/TBT/N/RWA/1341, G/TBT/N/TZA/1491, G/TBT/N/UGA/2310")</f>
        <v xml:space="preserve"> G/TBT/N/BDI/711, G/TBT/N/KEN/1979, G/TBT/N/RWA/1341, G/TBT/N/TZA/1491, G/TBT/N/UGA/2310</v>
      </c>
      <c r="D1128" s="8" t="s">
        <v>4402</v>
      </c>
      <c r="E1128" s="8" t="s">
        <v>4403</v>
      </c>
      <c r="F1128" s="8" t="s">
        <v>4404</v>
      </c>
      <c r="G1128" s="8" t="s">
        <v>43</v>
      </c>
      <c r="H1128" s="8" t="s">
        <v>4405</v>
      </c>
      <c r="I1128" s="8" t="s">
        <v>113</v>
      </c>
      <c r="J1128" s="8" t="s">
        <v>43</v>
      </c>
      <c r="K1128" s="8" t="s">
        <v>43</v>
      </c>
      <c r="L1128" s="6"/>
      <c r="M1128" s="7">
        <v>46098</v>
      </c>
      <c r="N1128" s="7" t="s">
        <v>79</v>
      </c>
      <c r="O1128" s="7" t="s">
        <v>114</v>
      </c>
      <c r="P1128" s="6" t="s">
        <v>62</v>
      </c>
      <c r="Q1128" s="8" t="s">
        <v>4406</v>
      </c>
      <c r="R1128" t="str">
        <f>HYPERLINK("https://docs.wto.org/imrd/directdoc.asp?DDFDocuments/t/G/TBTN26/BDI711.docx", "https://docs.wto.org/imrd/directdoc.asp?DDFDocuments/t/G/TBTN26/BDI711.docx")</f>
        <v>https://docs.wto.org/imrd/directdoc.asp?DDFDocuments/t/G/TBTN26/BDI711.docx</v>
      </c>
      <c r="S1128" t="str">
        <f>HYPERLINK("https://docs.wto.org/imrd/directdoc.asp?DDFDocuments/u/G/TBTN26/BDI711.docx", "https://docs.wto.org/imrd/directdoc.asp?DDFDocuments/u/G/TBTN26/BDI711.docx")</f>
        <v>https://docs.wto.org/imrd/directdoc.asp?DDFDocuments/u/G/TBTN26/BDI711.docx</v>
      </c>
      <c r="T1128" t="str">
        <f>HYPERLINK("https://docs.wto.org/imrd/directdoc.asp?DDFDocuments/v/G/TBTN26/BDI711.docx", "https://docs.wto.org/imrd/directdoc.asp?DDFDocuments/v/G/TBTN26/BDI711.docx")</f>
        <v>https://docs.wto.org/imrd/directdoc.asp?DDFDocuments/v/G/TBTN26/BDI711.docx</v>
      </c>
      <c r="U1128" t="s">
        <v>64</v>
      </c>
      <c r="V1128" t="s">
        <v>46</v>
      </c>
      <c r="W1128" t="s">
        <v>46</v>
      </c>
      <c r="X1128" t="s">
        <v>46</v>
      </c>
      <c r="Y1128" t="s">
        <v>46</v>
      </c>
      <c r="Z1128" t="s">
        <v>46</v>
      </c>
      <c r="AA1128" t="s">
        <v>46</v>
      </c>
      <c r="AB1128" s="2" t="s">
        <v>43</v>
      </c>
      <c r="AC1128" t="s">
        <v>43</v>
      </c>
      <c r="AD1128" t="s">
        <v>43</v>
      </c>
      <c r="AE1128" t="s">
        <v>43</v>
      </c>
      <c r="AF1128" t="s">
        <v>43</v>
      </c>
      <c r="AG1128" t="s">
        <v>43</v>
      </c>
      <c r="AH1128" s="2" t="s">
        <v>43</v>
      </c>
    </row>
    <row r="1129" spans="1:34" ht="75">
      <c r="A1129" s="6" t="s">
        <v>108</v>
      </c>
      <c r="B1129" s="7">
        <v>46038</v>
      </c>
      <c r="C1129" s="9" t="str">
        <f>HYPERLINK("https://eping.wto.org/en/Search?viewData= G/TBT/N/BDI/708, G/TBT/N/KEN/1976, G/TBT/N/RWA/1338, G/TBT/N/TZA/1488, G/TBT/N/UGA/2307"," G/TBT/N/BDI/708, G/TBT/N/KEN/1976, G/TBT/N/RWA/1338, G/TBT/N/TZA/1488, G/TBT/N/UGA/2307")</f>
        <v xml:space="preserve"> G/TBT/N/BDI/708, G/TBT/N/KEN/1976, G/TBT/N/RWA/1338, G/TBT/N/TZA/1488, G/TBT/N/UGA/2307</v>
      </c>
      <c r="D1129" s="8" t="s">
        <v>4395</v>
      </c>
      <c r="E1129" s="8" t="s">
        <v>4396</v>
      </c>
      <c r="F1129" s="8" t="s">
        <v>4365</v>
      </c>
      <c r="G1129" s="8" t="s">
        <v>43</v>
      </c>
      <c r="H1129" s="8" t="s">
        <v>4366</v>
      </c>
      <c r="I1129" s="8" t="s">
        <v>113</v>
      </c>
      <c r="J1129" s="8" t="s">
        <v>43</v>
      </c>
      <c r="K1129" s="8" t="s">
        <v>43</v>
      </c>
      <c r="L1129" s="6"/>
      <c r="M1129" s="7">
        <v>46098</v>
      </c>
      <c r="N1129" s="7" t="s">
        <v>79</v>
      </c>
      <c r="O1129" s="7" t="s">
        <v>114</v>
      </c>
      <c r="P1129" s="6" t="s">
        <v>62</v>
      </c>
      <c r="Q1129" s="8" t="s">
        <v>4397</v>
      </c>
      <c r="R1129" t="str">
        <f>HYPERLINK("https://docs.wto.org/imrd/directdoc.asp?DDFDocuments/t/G/TBTN26/BDI708.docx", "https://docs.wto.org/imrd/directdoc.asp?DDFDocuments/t/G/TBTN26/BDI708.docx")</f>
        <v>https://docs.wto.org/imrd/directdoc.asp?DDFDocuments/t/G/TBTN26/BDI708.docx</v>
      </c>
      <c r="S1129" t="str">
        <f>HYPERLINK("https://docs.wto.org/imrd/directdoc.asp?DDFDocuments/u/G/TBTN26/BDI708.docx", "https://docs.wto.org/imrd/directdoc.asp?DDFDocuments/u/G/TBTN26/BDI708.docx")</f>
        <v>https://docs.wto.org/imrd/directdoc.asp?DDFDocuments/u/G/TBTN26/BDI708.docx</v>
      </c>
      <c r="T1129" t="str">
        <f>HYPERLINK("https://docs.wto.org/imrd/directdoc.asp?DDFDocuments/v/G/TBTN26/BDI708.docx", "https://docs.wto.org/imrd/directdoc.asp?DDFDocuments/v/G/TBTN26/BDI708.docx")</f>
        <v>https://docs.wto.org/imrd/directdoc.asp?DDFDocuments/v/G/TBTN26/BDI708.docx</v>
      </c>
      <c r="U1129" t="s">
        <v>64</v>
      </c>
      <c r="V1129" t="s">
        <v>46</v>
      </c>
      <c r="W1129" t="s">
        <v>46</v>
      </c>
      <c r="X1129" t="s">
        <v>46</v>
      </c>
      <c r="Y1129" t="s">
        <v>46</v>
      </c>
      <c r="Z1129" t="s">
        <v>46</v>
      </c>
      <c r="AA1129" t="s">
        <v>46</v>
      </c>
      <c r="AB1129" s="2" t="s">
        <v>4398</v>
      </c>
      <c r="AC1129" t="s">
        <v>43</v>
      </c>
      <c r="AD1129" t="s">
        <v>43</v>
      </c>
      <c r="AE1129" t="s">
        <v>43</v>
      </c>
      <c r="AF1129" t="s">
        <v>43</v>
      </c>
      <c r="AG1129" t="s">
        <v>43</v>
      </c>
      <c r="AH1129" s="2" t="s">
        <v>43</v>
      </c>
    </row>
    <row r="1130" spans="1:34" ht="45">
      <c r="A1130" s="6" t="s">
        <v>577</v>
      </c>
      <c r="B1130" s="7">
        <v>46038</v>
      </c>
      <c r="C1130" s="9" t="str">
        <f>HYPERLINK("https://eping.wto.org/en/Search?viewData= G/TBT/N/BDI/709, G/TBT/N/KEN/1977, G/TBT/N/RWA/1339, G/TBT/N/TZA/1489, G/TBT/N/UGA/2308"," G/TBT/N/BDI/709, G/TBT/N/KEN/1977, G/TBT/N/RWA/1339, G/TBT/N/TZA/1489, G/TBT/N/UGA/2308")</f>
        <v xml:space="preserve"> G/TBT/N/BDI/709, G/TBT/N/KEN/1977, G/TBT/N/RWA/1339, G/TBT/N/TZA/1489, G/TBT/N/UGA/2308</v>
      </c>
      <c r="D1130" s="8" t="s">
        <v>4417</v>
      </c>
      <c r="E1130" s="8" t="s">
        <v>4418</v>
      </c>
      <c r="F1130" s="8" t="s">
        <v>4419</v>
      </c>
      <c r="G1130" s="8" t="s">
        <v>43</v>
      </c>
      <c r="H1130" s="8" t="s">
        <v>4420</v>
      </c>
      <c r="I1130" s="8" t="s">
        <v>113</v>
      </c>
      <c r="J1130" s="8" t="s">
        <v>43</v>
      </c>
      <c r="K1130" s="8" t="s">
        <v>43</v>
      </c>
      <c r="L1130" s="6"/>
      <c r="M1130" s="7">
        <v>46098</v>
      </c>
      <c r="N1130" s="7" t="s">
        <v>79</v>
      </c>
      <c r="O1130" s="7" t="s">
        <v>114</v>
      </c>
      <c r="P1130" s="6" t="s">
        <v>62</v>
      </c>
      <c r="Q1130" s="8" t="s">
        <v>4421</v>
      </c>
      <c r="R1130" t="str">
        <f>HYPERLINK("https://docs.wto.org/imrd/directdoc.asp?DDFDocuments/t/G/TBTN26/BDI709.docx", "https://docs.wto.org/imrd/directdoc.asp?DDFDocuments/t/G/TBTN26/BDI709.docx")</f>
        <v>https://docs.wto.org/imrd/directdoc.asp?DDFDocuments/t/G/TBTN26/BDI709.docx</v>
      </c>
      <c r="S1130" t="str">
        <f>HYPERLINK("https://docs.wto.org/imrd/directdoc.asp?DDFDocuments/u/G/TBTN26/BDI709.docx", "https://docs.wto.org/imrd/directdoc.asp?DDFDocuments/u/G/TBTN26/BDI709.docx")</f>
        <v>https://docs.wto.org/imrd/directdoc.asp?DDFDocuments/u/G/TBTN26/BDI709.docx</v>
      </c>
      <c r="T1130" t="str">
        <f>HYPERLINK("https://docs.wto.org/imrd/directdoc.asp?DDFDocuments/v/G/TBTN26/BDI709.docx", "https://docs.wto.org/imrd/directdoc.asp?DDFDocuments/v/G/TBTN26/BDI709.docx")</f>
        <v>https://docs.wto.org/imrd/directdoc.asp?DDFDocuments/v/G/TBTN26/BDI709.docx</v>
      </c>
      <c r="U1130" t="s">
        <v>64</v>
      </c>
      <c r="V1130" t="s">
        <v>46</v>
      </c>
      <c r="W1130" t="s">
        <v>46</v>
      </c>
      <c r="X1130" t="s">
        <v>46</v>
      </c>
      <c r="Y1130" t="s">
        <v>46</v>
      </c>
      <c r="Z1130" t="s">
        <v>46</v>
      </c>
      <c r="AA1130" t="s">
        <v>46</v>
      </c>
      <c r="AB1130" s="2" t="s">
        <v>4422</v>
      </c>
      <c r="AC1130" t="s">
        <v>43</v>
      </c>
      <c r="AD1130" t="s">
        <v>43</v>
      </c>
      <c r="AE1130" t="s">
        <v>43</v>
      </c>
      <c r="AF1130" t="s">
        <v>43</v>
      </c>
      <c r="AG1130" t="s">
        <v>43</v>
      </c>
      <c r="AH1130" s="2" t="s">
        <v>43</v>
      </c>
    </row>
    <row r="1131" spans="1:34" ht="60">
      <c r="A1131" s="6" t="s">
        <v>124</v>
      </c>
      <c r="B1131" s="7">
        <v>46038</v>
      </c>
      <c r="C1131" s="9" t="str">
        <f>HYPERLINK("https://eping.wto.org/en/Search?viewData= G/TBT/N/BDI/710, G/TBT/N/KEN/1978, G/TBT/N/RWA/1340, G/TBT/N/TZA/1490, G/TBT/N/UGA/2309"," G/TBT/N/BDI/710, G/TBT/N/KEN/1978, G/TBT/N/RWA/1340, G/TBT/N/TZA/1490, G/TBT/N/UGA/2309")</f>
        <v xml:space="preserve"> G/TBT/N/BDI/710, G/TBT/N/KEN/1978, G/TBT/N/RWA/1340, G/TBT/N/TZA/1490, G/TBT/N/UGA/2309</v>
      </c>
      <c r="D1131" s="8" t="s">
        <v>4382</v>
      </c>
      <c r="E1131" s="8" t="s">
        <v>4383</v>
      </c>
      <c r="F1131" s="8" t="s">
        <v>4384</v>
      </c>
      <c r="G1131" s="8" t="s">
        <v>43</v>
      </c>
      <c r="H1131" s="8" t="s">
        <v>4385</v>
      </c>
      <c r="I1131" s="8" t="s">
        <v>113</v>
      </c>
      <c r="J1131" s="8" t="s">
        <v>43</v>
      </c>
      <c r="K1131" s="8" t="s">
        <v>43</v>
      </c>
      <c r="L1131" s="6"/>
      <c r="M1131" s="7">
        <v>46098</v>
      </c>
      <c r="N1131" s="7" t="s">
        <v>79</v>
      </c>
      <c r="O1131" s="7" t="s">
        <v>114</v>
      </c>
      <c r="P1131" s="6" t="s">
        <v>62</v>
      </c>
      <c r="Q1131" s="8" t="s">
        <v>4386</v>
      </c>
      <c r="R1131" t="str">
        <f>HYPERLINK("https://docs.wto.org/imrd/directdoc.asp?DDFDocuments/t/G/TBTN26/BDI710.docx", "https://docs.wto.org/imrd/directdoc.asp?DDFDocuments/t/G/TBTN26/BDI710.docx")</f>
        <v>https://docs.wto.org/imrd/directdoc.asp?DDFDocuments/t/G/TBTN26/BDI710.docx</v>
      </c>
      <c r="S1131" t="str">
        <f>HYPERLINK("https://docs.wto.org/imrd/directdoc.asp?DDFDocuments/u/G/TBTN26/BDI710.docx", "https://docs.wto.org/imrd/directdoc.asp?DDFDocuments/u/G/TBTN26/BDI710.docx")</f>
        <v>https://docs.wto.org/imrd/directdoc.asp?DDFDocuments/u/G/TBTN26/BDI710.docx</v>
      </c>
      <c r="T1131" t="str">
        <f>HYPERLINK("https://docs.wto.org/imrd/directdoc.asp?DDFDocuments/v/G/TBTN26/BDI710.docx", "https://docs.wto.org/imrd/directdoc.asp?DDFDocuments/v/G/TBTN26/BDI710.docx")</f>
        <v>https://docs.wto.org/imrd/directdoc.asp?DDFDocuments/v/G/TBTN26/BDI710.docx</v>
      </c>
      <c r="U1131" t="s">
        <v>64</v>
      </c>
      <c r="V1131" t="s">
        <v>46</v>
      </c>
      <c r="W1131" t="s">
        <v>46</v>
      </c>
      <c r="X1131" t="s">
        <v>46</v>
      </c>
      <c r="Y1131" t="s">
        <v>46</v>
      </c>
      <c r="Z1131" t="s">
        <v>46</v>
      </c>
      <c r="AA1131" t="s">
        <v>46</v>
      </c>
      <c r="AB1131" s="2" t="s">
        <v>43</v>
      </c>
      <c r="AC1131" t="s">
        <v>43</v>
      </c>
      <c r="AD1131" t="s">
        <v>43</v>
      </c>
      <c r="AE1131" t="s">
        <v>43</v>
      </c>
      <c r="AF1131" t="s">
        <v>43</v>
      </c>
      <c r="AG1131" t="s">
        <v>43</v>
      </c>
      <c r="AH1131" s="2" t="s">
        <v>43</v>
      </c>
    </row>
    <row r="1132" spans="1:34" ht="30">
      <c r="A1132" s="6" t="s">
        <v>390</v>
      </c>
      <c r="B1132" s="7">
        <v>46038</v>
      </c>
      <c r="C1132" s="9" t="str">
        <f>HYPERLINK("https://eping.wto.org/en/Search?viewData= G/SPS/N/TZA/495"," G/SPS/N/TZA/495")</f>
        <v xml:space="preserve"> G/SPS/N/TZA/495</v>
      </c>
      <c r="D1132" s="8" t="s">
        <v>4423</v>
      </c>
      <c r="E1132" s="8" t="s">
        <v>4424</v>
      </c>
      <c r="F1132" s="8" t="s">
        <v>4332</v>
      </c>
      <c r="G1132" s="8" t="s">
        <v>4333</v>
      </c>
      <c r="H1132" s="8" t="s">
        <v>453</v>
      </c>
      <c r="I1132" s="8" t="s">
        <v>58</v>
      </c>
      <c r="J1132" s="8" t="s">
        <v>43</v>
      </c>
      <c r="K1132" s="8" t="s">
        <v>2405</v>
      </c>
      <c r="L1132" s="6" t="s">
        <v>43</v>
      </c>
      <c r="M1132" s="7">
        <v>46098</v>
      </c>
      <c r="N1132" s="7" t="s">
        <v>396</v>
      </c>
      <c r="O1132" s="7" t="s">
        <v>304</v>
      </c>
      <c r="P1132" s="6" t="s">
        <v>62</v>
      </c>
      <c r="Q1132" s="8" t="s">
        <v>4425</v>
      </c>
      <c r="R1132" t="str">
        <f>HYPERLINK("https://docs.wto.org/imrd/directdoc.asp?DDFDocuments/t/G/SPS/NTZA495.docx", "https://docs.wto.org/imrd/directdoc.asp?DDFDocuments/t/G/SPS/NTZA495.docx")</f>
        <v>https://docs.wto.org/imrd/directdoc.asp?DDFDocuments/t/G/SPS/NTZA495.docx</v>
      </c>
      <c r="S1132" t="str">
        <f>HYPERLINK("https://docs.wto.org/imrd/directdoc.asp?DDFDocuments/u/G/SPS/NTZA495.docx", "https://docs.wto.org/imrd/directdoc.asp?DDFDocuments/u/G/SPS/NTZA495.docx")</f>
        <v>https://docs.wto.org/imrd/directdoc.asp?DDFDocuments/u/G/SPS/NTZA495.docx</v>
      </c>
      <c r="T1132" t="str">
        <f>HYPERLINK("https://docs.wto.org/imrd/directdoc.asp?DDFDocuments/v/G/SPS/NTZA495.docx", "https://docs.wto.org/imrd/directdoc.asp?DDFDocuments/v/G/SPS/NTZA495.docx")</f>
        <v>https://docs.wto.org/imrd/directdoc.asp?DDFDocuments/v/G/SPS/NTZA495.docx</v>
      </c>
      <c r="U1132" t="s">
        <v>43</v>
      </c>
      <c r="V1132" t="s">
        <v>43</v>
      </c>
      <c r="W1132" t="s">
        <v>43</v>
      </c>
      <c r="X1132" t="s">
        <v>43</v>
      </c>
      <c r="Y1132" t="s">
        <v>43</v>
      </c>
      <c r="Z1132" t="s">
        <v>43</v>
      </c>
      <c r="AA1132" t="s">
        <v>43</v>
      </c>
      <c r="AB1132" s="2" t="s">
        <v>43</v>
      </c>
      <c r="AC1132" t="s">
        <v>46</v>
      </c>
      <c r="AD1132" t="s">
        <v>46</v>
      </c>
      <c r="AE1132" t="s">
        <v>46</v>
      </c>
      <c r="AF1132" t="s">
        <v>64</v>
      </c>
      <c r="AG1132" t="s">
        <v>99</v>
      </c>
      <c r="AH1132" s="2" t="s">
        <v>43</v>
      </c>
    </row>
    <row r="1133" spans="1:34" ht="60">
      <c r="A1133" s="6" t="s">
        <v>756</v>
      </c>
      <c r="B1133" s="7">
        <v>46038</v>
      </c>
      <c r="C1133" s="9" t="str">
        <f>HYPERLINK("https://eping.wto.org/en/Search?viewData= G/SPS/N/PER/1107"," G/SPS/N/PER/1107")</f>
        <v xml:space="preserve"> G/SPS/N/PER/1107</v>
      </c>
      <c r="D1133" s="8" t="s">
        <v>4426</v>
      </c>
      <c r="E1133" s="8" t="s">
        <v>4427</v>
      </c>
      <c r="F1133" s="8" t="s">
        <v>4428</v>
      </c>
      <c r="G1133" s="8" t="s">
        <v>4429</v>
      </c>
      <c r="H1133" s="8" t="s">
        <v>43</v>
      </c>
      <c r="I1133" s="8" t="s">
        <v>254</v>
      </c>
      <c r="J1133" s="8" t="s">
        <v>43</v>
      </c>
      <c r="K1133" s="8" t="s">
        <v>255</v>
      </c>
      <c r="L1133" s="6" t="s">
        <v>158</v>
      </c>
      <c r="M1133" s="7">
        <v>46098</v>
      </c>
      <c r="N1133" s="7" t="s">
        <v>79</v>
      </c>
      <c r="O1133" s="7" t="s">
        <v>761</v>
      </c>
      <c r="P1133" s="6" t="s">
        <v>62</v>
      </c>
      <c r="Q1133" s="8" t="s">
        <v>4430</v>
      </c>
      <c r="R1133" t="str">
        <f>HYPERLINK("https://docs.wto.org/imrd/directdoc.asp?DDFDocuments/t/G/SPS/NPER1107.docx", "https://docs.wto.org/imrd/directdoc.asp?DDFDocuments/t/G/SPS/NPER1107.docx")</f>
        <v>https://docs.wto.org/imrd/directdoc.asp?DDFDocuments/t/G/SPS/NPER1107.docx</v>
      </c>
      <c r="S1133" t="str">
        <f>HYPERLINK("https://docs.wto.org/imrd/directdoc.asp?DDFDocuments/u/G/SPS/NPER1107.docx", "https://docs.wto.org/imrd/directdoc.asp?DDFDocuments/u/G/SPS/NPER1107.docx")</f>
        <v>https://docs.wto.org/imrd/directdoc.asp?DDFDocuments/u/G/SPS/NPER1107.docx</v>
      </c>
      <c r="T1133" t="str">
        <f>HYPERLINK("https://docs.wto.org/imrd/directdoc.asp?DDFDocuments/v/G/SPS/NPER1107.docx", "https://docs.wto.org/imrd/directdoc.asp?DDFDocuments/v/G/SPS/NPER1107.docx")</f>
        <v>https://docs.wto.org/imrd/directdoc.asp?DDFDocuments/v/G/SPS/NPER1107.docx</v>
      </c>
      <c r="U1133" t="s">
        <v>43</v>
      </c>
      <c r="V1133" t="s">
        <v>43</v>
      </c>
      <c r="W1133" t="s">
        <v>43</v>
      </c>
      <c r="X1133" t="s">
        <v>43</v>
      </c>
      <c r="Y1133" t="s">
        <v>43</v>
      </c>
      <c r="Z1133" t="s">
        <v>43</v>
      </c>
      <c r="AA1133" t="s">
        <v>43</v>
      </c>
      <c r="AB1133" s="2" t="s">
        <v>43</v>
      </c>
      <c r="AC1133" t="s">
        <v>46</v>
      </c>
      <c r="AD1133" t="s">
        <v>46</v>
      </c>
      <c r="AE1133" t="s">
        <v>64</v>
      </c>
      <c r="AF1133" t="s">
        <v>46</v>
      </c>
      <c r="AG1133" t="s">
        <v>64</v>
      </c>
      <c r="AH1133" s="2" t="s">
        <v>43</v>
      </c>
    </row>
    <row r="1134" spans="1:34" ht="135">
      <c r="A1134" s="6" t="s">
        <v>89</v>
      </c>
      <c r="B1134" s="7">
        <v>46038</v>
      </c>
      <c r="C1134" s="9" t="str">
        <f>HYPERLINK("https://eping.wto.org/en/Search?viewData= G/TBT/N/CRI/189/Add.40"," G/TBT/N/CRI/189/Add.40")</f>
        <v xml:space="preserve"> G/TBT/N/CRI/189/Add.40</v>
      </c>
      <c r="D1134" s="8" t="s">
        <v>4220</v>
      </c>
      <c r="E1134" s="8" t="s">
        <v>4431</v>
      </c>
      <c r="F1134" s="8" t="s">
        <v>4222</v>
      </c>
      <c r="G1134" s="8" t="s">
        <v>406</v>
      </c>
      <c r="H1134" s="8" t="s">
        <v>407</v>
      </c>
      <c r="I1134" s="8" t="s">
        <v>1114</v>
      </c>
      <c r="J1134" s="8" t="s">
        <v>43</v>
      </c>
      <c r="K1134" s="8" t="s">
        <v>43</v>
      </c>
      <c r="L1134" s="6"/>
      <c r="M1134" s="7" t="s">
        <v>43</v>
      </c>
      <c r="N1134" s="7"/>
      <c r="O1134" s="7"/>
      <c r="P1134" s="6" t="s">
        <v>44</v>
      </c>
      <c r="Q1134" s="8" t="s">
        <v>4432</v>
      </c>
      <c r="R1134" t="str">
        <f>HYPERLINK("https://docs.wto.org/imrd/directdoc.asp?DDFDocuments/t/G/TBTN20/CRI189A40.docx", "https://docs.wto.org/imrd/directdoc.asp?DDFDocuments/t/G/TBTN20/CRI189A40.docx")</f>
        <v>https://docs.wto.org/imrd/directdoc.asp?DDFDocuments/t/G/TBTN20/CRI189A40.docx</v>
      </c>
      <c r="S1134" t="str">
        <f>HYPERLINK("https://docs.wto.org/imrd/directdoc.asp?DDFDocuments/u/G/TBTN20/CRI189A40.docx", "https://docs.wto.org/imrd/directdoc.asp?DDFDocuments/u/G/TBTN20/CRI189A40.docx")</f>
        <v>https://docs.wto.org/imrd/directdoc.asp?DDFDocuments/u/G/TBTN20/CRI189A40.docx</v>
      </c>
      <c r="T1134" t="str">
        <f>HYPERLINK("https://docs.wto.org/imrd/directdoc.asp?DDFDocuments/v/G/TBTN20/CRI189A40.docx", "https://docs.wto.org/imrd/directdoc.asp?DDFDocuments/v/G/TBTN20/CRI189A40.docx")</f>
        <v>https://docs.wto.org/imrd/directdoc.asp?DDFDocuments/v/G/TBTN20/CRI189A40.docx</v>
      </c>
      <c r="U1134" t="s">
        <v>64</v>
      </c>
      <c r="V1134" t="s">
        <v>46</v>
      </c>
      <c r="W1134" t="s">
        <v>46</v>
      </c>
      <c r="X1134" t="s">
        <v>46</v>
      </c>
      <c r="Y1134" t="s">
        <v>46</v>
      </c>
      <c r="Z1134" t="s">
        <v>46</v>
      </c>
      <c r="AA1134" t="s">
        <v>46</v>
      </c>
      <c r="AB1134" s="2" t="s">
        <v>43</v>
      </c>
      <c r="AC1134" t="s">
        <v>43</v>
      </c>
      <c r="AD1134" t="s">
        <v>43</v>
      </c>
      <c r="AE1134" t="s">
        <v>43</v>
      </c>
      <c r="AF1134" t="s">
        <v>43</v>
      </c>
      <c r="AG1134" t="s">
        <v>43</v>
      </c>
      <c r="AH1134" s="2" t="s">
        <v>43</v>
      </c>
    </row>
    <row r="1135" spans="1:34" ht="409.5">
      <c r="A1135" s="6" t="s">
        <v>96</v>
      </c>
      <c r="B1135" s="7">
        <v>46038</v>
      </c>
      <c r="C1135" s="9" t="str">
        <f>HYPERLINK("https://eping.wto.org/en/Search?viewData= G/TBT/N/ISR/1410"," G/TBT/N/ISR/1410")</f>
        <v xml:space="preserve"> G/TBT/N/ISR/1410</v>
      </c>
      <c r="D1135" s="8" t="s">
        <v>4433</v>
      </c>
      <c r="E1135" s="8" t="s">
        <v>4434</v>
      </c>
      <c r="F1135" s="8" t="s">
        <v>4435</v>
      </c>
      <c r="G1135" s="8" t="s">
        <v>4436</v>
      </c>
      <c r="H1135" s="8" t="s">
        <v>442</v>
      </c>
      <c r="I1135" s="8" t="s">
        <v>413</v>
      </c>
      <c r="J1135" s="8" t="s">
        <v>4437</v>
      </c>
      <c r="K1135" s="8" t="s">
        <v>350</v>
      </c>
      <c r="L1135" s="6"/>
      <c r="M1135" s="7">
        <v>46098</v>
      </c>
      <c r="N1135" s="7" t="s">
        <v>79</v>
      </c>
      <c r="O1135" s="7">
        <v>46266</v>
      </c>
      <c r="P1135" s="6" t="s">
        <v>62</v>
      </c>
      <c r="Q1135" s="8" t="s">
        <v>4438</v>
      </c>
      <c r="R1135" t="str">
        <f>HYPERLINK("https://docs.wto.org/imrd/directdoc.asp?DDFDocuments/t/G/TBTN26/ISR1410.docx", "https://docs.wto.org/imrd/directdoc.asp?DDFDocuments/t/G/TBTN26/ISR1410.docx")</f>
        <v>https://docs.wto.org/imrd/directdoc.asp?DDFDocuments/t/G/TBTN26/ISR1410.docx</v>
      </c>
      <c r="S1135" t="str">
        <f>HYPERLINK("https://docs.wto.org/imrd/directdoc.asp?DDFDocuments/u/G/TBTN26/ISR1410.docx", "https://docs.wto.org/imrd/directdoc.asp?DDFDocuments/u/G/TBTN26/ISR1410.docx")</f>
        <v>https://docs.wto.org/imrd/directdoc.asp?DDFDocuments/u/G/TBTN26/ISR1410.docx</v>
      </c>
      <c r="T1135" t="str">
        <f>HYPERLINK("https://docs.wto.org/imrd/directdoc.asp?DDFDocuments/v/G/TBTN26/ISR1410.docx", "https://docs.wto.org/imrd/directdoc.asp?DDFDocuments/v/G/TBTN26/ISR1410.docx")</f>
        <v>https://docs.wto.org/imrd/directdoc.asp?DDFDocuments/v/G/TBTN26/ISR1410.docx</v>
      </c>
      <c r="U1135" t="s">
        <v>64</v>
      </c>
      <c r="V1135" t="s">
        <v>46</v>
      </c>
      <c r="W1135" t="s">
        <v>46</v>
      </c>
      <c r="X1135" t="s">
        <v>46</v>
      </c>
      <c r="Y1135" t="s">
        <v>46</v>
      </c>
      <c r="Z1135" t="s">
        <v>46</v>
      </c>
      <c r="AA1135" t="s">
        <v>46</v>
      </c>
      <c r="AB1135" s="2" t="s">
        <v>4439</v>
      </c>
      <c r="AC1135" t="s">
        <v>43</v>
      </c>
      <c r="AD1135" t="s">
        <v>43</v>
      </c>
      <c r="AE1135" t="s">
        <v>43</v>
      </c>
      <c r="AF1135" t="s">
        <v>43</v>
      </c>
      <c r="AG1135" t="s">
        <v>43</v>
      </c>
      <c r="AH1135" s="2" t="s">
        <v>43</v>
      </c>
    </row>
    <row r="1136" spans="1:34" ht="45">
      <c r="A1136" s="6" t="s">
        <v>108</v>
      </c>
      <c r="B1136" s="7">
        <v>46038</v>
      </c>
      <c r="C1136" s="9" t="str">
        <f>HYPERLINK("https://eping.wto.org/en/Search?viewData= G/TBT/N/BDI/707, G/TBT/N/KEN/1975, G/TBT/N/RWA/1337, G/TBT/N/TZA/1487, G/TBT/N/UGA/2306"," G/TBT/N/BDI/707, G/TBT/N/KEN/1975, G/TBT/N/RWA/1337, G/TBT/N/TZA/1487, G/TBT/N/UGA/2306")</f>
        <v xml:space="preserve"> G/TBT/N/BDI/707, G/TBT/N/KEN/1975, G/TBT/N/RWA/1337, G/TBT/N/TZA/1487, G/TBT/N/UGA/2306</v>
      </c>
      <c r="D1136" s="8" t="s">
        <v>4363</v>
      </c>
      <c r="E1136" s="8" t="s">
        <v>4364</v>
      </c>
      <c r="F1136" s="8" t="s">
        <v>4365</v>
      </c>
      <c r="G1136" s="8" t="s">
        <v>43</v>
      </c>
      <c r="H1136" s="8" t="s">
        <v>4366</v>
      </c>
      <c r="I1136" s="8" t="s">
        <v>113</v>
      </c>
      <c r="J1136" s="8" t="s">
        <v>43</v>
      </c>
      <c r="K1136" s="8" t="s">
        <v>43</v>
      </c>
      <c r="L1136" s="6"/>
      <c r="M1136" s="7">
        <v>46098</v>
      </c>
      <c r="N1136" s="7" t="s">
        <v>79</v>
      </c>
      <c r="O1136" s="7" t="s">
        <v>114</v>
      </c>
      <c r="P1136" s="6" t="s">
        <v>62</v>
      </c>
      <c r="Q1136" s="8" t="s">
        <v>4367</v>
      </c>
      <c r="R1136" t="str">
        <f>HYPERLINK("https://docs.wto.org/imrd/directdoc.asp?DDFDocuments/t/G/TBTN26/BDI707.docx", "https://docs.wto.org/imrd/directdoc.asp?DDFDocuments/t/G/TBTN26/BDI707.docx")</f>
        <v>https://docs.wto.org/imrd/directdoc.asp?DDFDocuments/t/G/TBTN26/BDI707.docx</v>
      </c>
      <c r="S1136" t="str">
        <f>HYPERLINK("https://docs.wto.org/imrd/directdoc.asp?DDFDocuments/u/G/TBTN26/BDI707.docx", "https://docs.wto.org/imrd/directdoc.asp?DDFDocuments/u/G/TBTN26/BDI707.docx")</f>
        <v>https://docs.wto.org/imrd/directdoc.asp?DDFDocuments/u/G/TBTN26/BDI707.docx</v>
      </c>
      <c r="T1136" t="str">
        <f>HYPERLINK("https://docs.wto.org/imrd/directdoc.asp?DDFDocuments/v/G/TBTN26/BDI707.docx", "https://docs.wto.org/imrd/directdoc.asp?DDFDocuments/v/G/TBTN26/BDI707.docx")</f>
        <v>https://docs.wto.org/imrd/directdoc.asp?DDFDocuments/v/G/TBTN26/BDI707.docx</v>
      </c>
      <c r="U1136" t="s">
        <v>64</v>
      </c>
      <c r="V1136" t="s">
        <v>46</v>
      </c>
      <c r="W1136" t="s">
        <v>46</v>
      </c>
      <c r="X1136" t="s">
        <v>46</v>
      </c>
      <c r="Y1136" t="s">
        <v>46</v>
      </c>
      <c r="Z1136" t="s">
        <v>46</v>
      </c>
      <c r="AA1136" t="s">
        <v>46</v>
      </c>
      <c r="AB1136" s="2" t="s">
        <v>4368</v>
      </c>
      <c r="AC1136" t="s">
        <v>43</v>
      </c>
      <c r="AD1136" t="s">
        <v>43</v>
      </c>
      <c r="AE1136" t="s">
        <v>43</v>
      </c>
      <c r="AF1136" t="s">
        <v>43</v>
      </c>
      <c r="AG1136" t="s">
        <v>43</v>
      </c>
      <c r="AH1136" s="2" t="s">
        <v>43</v>
      </c>
    </row>
    <row r="1137" spans="1:34" ht="75">
      <c r="A1137" s="6" t="s">
        <v>509</v>
      </c>
      <c r="B1137" s="7">
        <v>46038</v>
      </c>
      <c r="C1137" s="9" t="str">
        <f>HYPERLINK("https://eping.wto.org/en/Search?viewData= G/TBT/N/BDI/708, G/TBT/N/KEN/1976, G/TBT/N/RWA/1338, G/TBT/N/TZA/1488, G/TBT/N/UGA/2307"," G/TBT/N/BDI/708, G/TBT/N/KEN/1976, G/TBT/N/RWA/1338, G/TBT/N/TZA/1488, G/TBT/N/UGA/2307")</f>
        <v xml:space="preserve"> G/TBT/N/BDI/708, G/TBT/N/KEN/1976, G/TBT/N/RWA/1338, G/TBT/N/TZA/1488, G/TBT/N/UGA/2307</v>
      </c>
      <c r="D1137" s="8" t="s">
        <v>4395</v>
      </c>
      <c r="E1137" s="8" t="s">
        <v>4396</v>
      </c>
      <c r="F1137" s="8" t="s">
        <v>4365</v>
      </c>
      <c r="G1137" s="8" t="s">
        <v>43</v>
      </c>
      <c r="H1137" s="8" t="s">
        <v>4366</v>
      </c>
      <c r="I1137" s="8" t="s">
        <v>113</v>
      </c>
      <c r="J1137" s="8" t="s">
        <v>43</v>
      </c>
      <c r="K1137" s="8" t="s">
        <v>43</v>
      </c>
      <c r="L1137" s="6"/>
      <c r="M1137" s="7">
        <v>46098</v>
      </c>
      <c r="N1137" s="7" t="s">
        <v>79</v>
      </c>
      <c r="O1137" s="7" t="s">
        <v>114</v>
      </c>
      <c r="P1137" s="6" t="s">
        <v>62</v>
      </c>
      <c r="Q1137" s="8" t="s">
        <v>4397</v>
      </c>
      <c r="R1137" t="str">
        <f>HYPERLINK("https://docs.wto.org/imrd/directdoc.asp?DDFDocuments/t/G/TBTN26/BDI708.docx", "https://docs.wto.org/imrd/directdoc.asp?DDFDocuments/t/G/TBTN26/BDI708.docx")</f>
        <v>https://docs.wto.org/imrd/directdoc.asp?DDFDocuments/t/G/TBTN26/BDI708.docx</v>
      </c>
      <c r="S1137" t="str">
        <f>HYPERLINK("https://docs.wto.org/imrd/directdoc.asp?DDFDocuments/u/G/TBTN26/BDI708.docx", "https://docs.wto.org/imrd/directdoc.asp?DDFDocuments/u/G/TBTN26/BDI708.docx")</f>
        <v>https://docs.wto.org/imrd/directdoc.asp?DDFDocuments/u/G/TBTN26/BDI708.docx</v>
      </c>
      <c r="T1137" t="str">
        <f>HYPERLINK("https://docs.wto.org/imrd/directdoc.asp?DDFDocuments/v/G/TBTN26/BDI708.docx", "https://docs.wto.org/imrd/directdoc.asp?DDFDocuments/v/G/TBTN26/BDI708.docx")</f>
        <v>https://docs.wto.org/imrd/directdoc.asp?DDFDocuments/v/G/TBTN26/BDI708.docx</v>
      </c>
      <c r="U1137" t="s">
        <v>64</v>
      </c>
      <c r="V1137" t="s">
        <v>46</v>
      </c>
      <c r="W1137" t="s">
        <v>46</v>
      </c>
      <c r="X1137" t="s">
        <v>46</v>
      </c>
      <c r="Y1137" t="s">
        <v>46</v>
      </c>
      <c r="Z1137" t="s">
        <v>46</v>
      </c>
      <c r="AA1137" t="s">
        <v>46</v>
      </c>
      <c r="AB1137" s="2" t="s">
        <v>4398</v>
      </c>
      <c r="AC1137" t="s">
        <v>43</v>
      </c>
      <c r="AD1137" t="s">
        <v>43</v>
      </c>
      <c r="AE1137" t="s">
        <v>43</v>
      </c>
      <c r="AF1137" t="s">
        <v>43</v>
      </c>
      <c r="AG1137" t="s">
        <v>43</v>
      </c>
      <c r="AH1137" s="2" t="s">
        <v>43</v>
      </c>
    </row>
    <row r="1138" spans="1:34" ht="45">
      <c r="A1138" s="6" t="s">
        <v>124</v>
      </c>
      <c r="B1138" s="7">
        <v>46038</v>
      </c>
      <c r="C1138" s="9" t="str">
        <f>HYPERLINK("https://eping.wto.org/en/Search?viewData= G/TBT/N/BDI/709, G/TBT/N/KEN/1977, G/TBT/N/RWA/1339, G/TBT/N/TZA/1489, G/TBT/N/UGA/2308"," G/TBT/N/BDI/709, G/TBT/N/KEN/1977, G/TBT/N/RWA/1339, G/TBT/N/TZA/1489, G/TBT/N/UGA/2308")</f>
        <v xml:space="preserve"> G/TBT/N/BDI/709, G/TBT/N/KEN/1977, G/TBT/N/RWA/1339, G/TBT/N/TZA/1489, G/TBT/N/UGA/2308</v>
      </c>
      <c r="D1138" s="8" t="s">
        <v>4417</v>
      </c>
      <c r="E1138" s="8" t="s">
        <v>4418</v>
      </c>
      <c r="F1138" s="8" t="s">
        <v>4419</v>
      </c>
      <c r="G1138" s="8" t="s">
        <v>43</v>
      </c>
      <c r="H1138" s="8" t="s">
        <v>4420</v>
      </c>
      <c r="I1138" s="8" t="s">
        <v>113</v>
      </c>
      <c r="J1138" s="8" t="s">
        <v>43</v>
      </c>
      <c r="K1138" s="8" t="s">
        <v>43</v>
      </c>
      <c r="L1138" s="6"/>
      <c r="M1138" s="7">
        <v>46098</v>
      </c>
      <c r="N1138" s="7" t="s">
        <v>79</v>
      </c>
      <c r="O1138" s="7" t="s">
        <v>114</v>
      </c>
      <c r="P1138" s="6" t="s">
        <v>62</v>
      </c>
      <c r="Q1138" s="8" t="s">
        <v>4421</v>
      </c>
      <c r="R1138" t="str">
        <f>HYPERLINK("https://docs.wto.org/imrd/directdoc.asp?DDFDocuments/t/G/TBTN26/BDI709.docx", "https://docs.wto.org/imrd/directdoc.asp?DDFDocuments/t/G/TBTN26/BDI709.docx")</f>
        <v>https://docs.wto.org/imrd/directdoc.asp?DDFDocuments/t/G/TBTN26/BDI709.docx</v>
      </c>
      <c r="S1138" t="str">
        <f>HYPERLINK("https://docs.wto.org/imrd/directdoc.asp?DDFDocuments/u/G/TBTN26/BDI709.docx", "https://docs.wto.org/imrd/directdoc.asp?DDFDocuments/u/G/TBTN26/BDI709.docx")</f>
        <v>https://docs.wto.org/imrd/directdoc.asp?DDFDocuments/u/G/TBTN26/BDI709.docx</v>
      </c>
      <c r="T1138" t="str">
        <f>HYPERLINK("https://docs.wto.org/imrd/directdoc.asp?DDFDocuments/v/G/TBTN26/BDI709.docx", "https://docs.wto.org/imrd/directdoc.asp?DDFDocuments/v/G/TBTN26/BDI709.docx")</f>
        <v>https://docs.wto.org/imrd/directdoc.asp?DDFDocuments/v/G/TBTN26/BDI709.docx</v>
      </c>
      <c r="U1138" t="s">
        <v>64</v>
      </c>
      <c r="V1138" t="s">
        <v>46</v>
      </c>
      <c r="W1138" t="s">
        <v>46</v>
      </c>
      <c r="X1138" t="s">
        <v>46</v>
      </c>
      <c r="Y1138" t="s">
        <v>46</v>
      </c>
      <c r="Z1138" t="s">
        <v>46</v>
      </c>
      <c r="AA1138" t="s">
        <v>46</v>
      </c>
      <c r="AB1138" s="2" t="s">
        <v>4422</v>
      </c>
      <c r="AC1138" t="s">
        <v>43</v>
      </c>
      <c r="AD1138" t="s">
        <v>43</v>
      </c>
      <c r="AE1138" t="s">
        <v>43</v>
      </c>
      <c r="AF1138" t="s">
        <v>43</v>
      </c>
      <c r="AG1138" t="s">
        <v>43</v>
      </c>
      <c r="AH1138" s="2" t="s">
        <v>43</v>
      </c>
    </row>
    <row r="1139" spans="1:34" ht="45">
      <c r="A1139" s="6" t="s">
        <v>390</v>
      </c>
      <c r="B1139" s="7">
        <v>46038</v>
      </c>
      <c r="C1139" s="9" t="str">
        <f>HYPERLINK("https://eping.wto.org/en/Search?viewData= G/TBT/N/BDI/709, G/TBT/N/KEN/1977, G/TBT/N/RWA/1339, G/TBT/N/TZA/1489, G/TBT/N/UGA/2308"," G/TBT/N/BDI/709, G/TBT/N/KEN/1977, G/TBT/N/RWA/1339, G/TBT/N/TZA/1489, G/TBT/N/UGA/2308")</f>
        <v xml:space="preserve"> G/TBT/N/BDI/709, G/TBT/N/KEN/1977, G/TBT/N/RWA/1339, G/TBT/N/TZA/1489, G/TBT/N/UGA/2308</v>
      </c>
      <c r="D1139" s="8" t="s">
        <v>4417</v>
      </c>
      <c r="E1139" s="8" t="s">
        <v>4418</v>
      </c>
      <c r="F1139" s="8" t="s">
        <v>4419</v>
      </c>
      <c r="G1139" s="8" t="s">
        <v>43</v>
      </c>
      <c r="H1139" s="8" t="s">
        <v>4420</v>
      </c>
      <c r="I1139" s="8" t="s">
        <v>113</v>
      </c>
      <c r="J1139" s="8" t="s">
        <v>43</v>
      </c>
      <c r="K1139" s="8" t="s">
        <v>43</v>
      </c>
      <c r="L1139" s="6"/>
      <c r="M1139" s="7">
        <v>46098</v>
      </c>
      <c r="N1139" s="7" t="s">
        <v>79</v>
      </c>
      <c r="O1139" s="7" t="s">
        <v>114</v>
      </c>
      <c r="P1139" s="6" t="s">
        <v>62</v>
      </c>
      <c r="Q1139" s="8" t="s">
        <v>4421</v>
      </c>
      <c r="R1139" t="str">
        <f>HYPERLINK("https://docs.wto.org/imrd/directdoc.asp?DDFDocuments/t/G/TBTN26/BDI709.docx", "https://docs.wto.org/imrd/directdoc.asp?DDFDocuments/t/G/TBTN26/BDI709.docx")</f>
        <v>https://docs.wto.org/imrd/directdoc.asp?DDFDocuments/t/G/TBTN26/BDI709.docx</v>
      </c>
      <c r="S1139" t="str">
        <f>HYPERLINK("https://docs.wto.org/imrd/directdoc.asp?DDFDocuments/u/G/TBTN26/BDI709.docx", "https://docs.wto.org/imrd/directdoc.asp?DDFDocuments/u/G/TBTN26/BDI709.docx")</f>
        <v>https://docs.wto.org/imrd/directdoc.asp?DDFDocuments/u/G/TBTN26/BDI709.docx</v>
      </c>
      <c r="T1139" t="str">
        <f>HYPERLINK("https://docs.wto.org/imrd/directdoc.asp?DDFDocuments/v/G/TBTN26/BDI709.docx", "https://docs.wto.org/imrd/directdoc.asp?DDFDocuments/v/G/TBTN26/BDI709.docx")</f>
        <v>https://docs.wto.org/imrd/directdoc.asp?DDFDocuments/v/G/TBTN26/BDI709.docx</v>
      </c>
      <c r="U1139" t="s">
        <v>64</v>
      </c>
      <c r="V1139" t="s">
        <v>46</v>
      </c>
      <c r="W1139" t="s">
        <v>46</v>
      </c>
      <c r="X1139" t="s">
        <v>46</v>
      </c>
      <c r="Y1139" t="s">
        <v>46</v>
      </c>
      <c r="Z1139" t="s">
        <v>46</v>
      </c>
      <c r="AA1139" t="s">
        <v>46</v>
      </c>
      <c r="AB1139" s="2" t="s">
        <v>4422</v>
      </c>
      <c r="AC1139" t="s">
        <v>43</v>
      </c>
      <c r="AD1139" t="s">
        <v>43</v>
      </c>
      <c r="AE1139" t="s">
        <v>43</v>
      </c>
      <c r="AF1139" t="s">
        <v>43</v>
      </c>
      <c r="AG1139" t="s">
        <v>43</v>
      </c>
      <c r="AH1139" s="2" t="s">
        <v>43</v>
      </c>
    </row>
    <row r="1140" spans="1:34" ht="45">
      <c r="A1140" s="6" t="s">
        <v>509</v>
      </c>
      <c r="B1140" s="7">
        <v>46038</v>
      </c>
      <c r="C1140" s="9" t="str">
        <f>HYPERLINK("https://eping.wto.org/en/Search?viewData= G/TBT/N/BDI/711, G/TBT/N/KEN/1979, G/TBT/N/RWA/1341, G/TBT/N/TZA/1491, G/TBT/N/UGA/2310"," G/TBT/N/BDI/711, G/TBT/N/KEN/1979, G/TBT/N/RWA/1341, G/TBT/N/TZA/1491, G/TBT/N/UGA/2310")</f>
        <v xml:space="preserve"> G/TBT/N/BDI/711, G/TBT/N/KEN/1979, G/TBT/N/RWA/1341, G/TBT/N/TZA/1491, G/TBT/N/UGA/2310</v>
      </c>
      <c r="D1140" s="8" t="s">
        <v>4402</v>
      </c>
      <c r="E1140" s="8" t="s">
        <v>4403</v>
      </c>
      <c r="F1140" s="8" t="s">
        <v>4404</v>
      </c>
      <c r="G1140" s="8" t="s">
        <v>43</v>
      </c>
      <c r="H1140" s="8" t="s">
        <v>4405</v>
      </c>
      <c r="I1140" s="8" t="s">
        <v>113</v>
      </c>
      <c r="J1140" s="8" t="s">
        <v>43</v>
      </c>
      <c r="K1140" s="8" t="s">
        <v>43</v>
      </c>
      <c r="L1140" s="6"/>
      <c r="M1140" s="7">
        <v>46098</v>
      </c>
      <c r="N1140" s="7" t="s">
        <v>79</v>
      </c>
      <c r="O1140" s="7" t="s">
        <v>114</v>
      </c>
      <c r="P1140" s="6" t="s">
        <v>62</v>
      </c>
      <c r="Q1140" s="8" t="s">
        <v>4406</v>
      </c>
      <c r="R1140" t="str">
        <f>HYPERLINK("https://docs.wto.org/imrd/directdoc.asp?DDFDocuments/t/G/TBTN26/BDI711.docx", "https://docs.wto.org/imrd/directdoc.asp?DDFDocuments/t/G/TBTN26/BDI711.docx")</f>
        <v>https://docs.wto.org/imrd/directdoc.asp?DDFDocuments/t/G/TBTN26/BDI711.docx</v>
      </c>
      <c r="S1140" t="str">
        <f>HYPERLINK("https://docs.wto.org/imrd/directdoc.asp?DDFDocuments/u/G/TBTN26/BDI711.docx", "https://docs.wto.org/imrd/directdoc.asp?DDFDocuments/u/G/TBTN26/BDI711.docx")</f>
        <v>https://docs.wto.org/imrd/directdoc.asp?DDFDocuments/u/G/TBTN26/BDI711.docx</v>
      </c>
      <c r="T1140" t="str">
        <f>HYPERLINK("https://docs.wto.org/imrd/directdoc.asp?DDFDocuments/v/G/TBTN26/BDI711.docx", "https://docs.wto.org/imrd/directdoc.asp?DDFDocuments/v/G/TBTN26/BDI711.docx")</f>
        <v>https://docs.wto.org/imrd/directdoc.asp?DDFDocuments/v/G/TBTN26/BDI711.docx</v>
      </c>
      <c r="U1140" t="s">
        <v>64</v>
      </c>
      <c r="V1140" t="s">
        <v>46</v>
      </c>
      <c r="W1140" t="s">
        <v>46</v>
      </c>
      <c r="X1140" t="s">
        <v>46</v>
      </c>
      <c r="Y1140" t="s">
        <v>46</v>
      </c>
      <c r="Z1140" t="s">
        <v>46</v>
      </c>
      <c r="AA1140" t="s">
        <v>46</v>
      </c>
      <c r="AB1140" s="2" t="s">
        <v>43</v>
      </c>
      <c r="AC1140" t="s">
        <v>43</v>
      </c>
      <c r="AD1140" t="s">
        <v>43</v>
      </c>
      <c r="AE1140" t="s">
        <v>43</v>
      </c>
      <c r="AF1140" t="s">
        <v>43</v>
      </c>
      <c r="AG1140" t="s">
        <v>43</v>
      </c>
      <c r="AH1140" s="2" t="s">
        <v>43</v>
      </c>
    </row>
    <row r="1141" spans="1:34" ht="105">
      <c r="A1141" s="6" t="s">
        <v>1328</v>
      </c>
      <c r="B1141" s="7">
        <v>46038</v>
      </c>
      <c r="C1141" s="9" t="str">
        <f>HYPERLINK("https://eping.wto.org/en/Search?viewData= G/SPS/N/PHL/534"," G/SPS/N/PHL/534")</f>
        <v xml:space="preserve"> G/SPS/N/PHL/534</v>
      </c>
      <c r="D1141" s="8" t="s">
        <v>4440</v>
      </c>
      <c r="E1141" s="8" t="s">
        <v>4441</v>
      </c>
      <c r="F1141" s="8" t="s">
        <v>4442</v>
      </c>
      <c r="G1141" s="8" t="s">
        <v>4443</v>
      </c>
      <c r="H1141" s="8" t="s">
        <v>4444</v>
      </c>
      <c r="I1141" s="8" t="s">
        <v>4025</v>
      </c>
      <c r="J1141" s="8" t="s">
        <v>43</v>
      </c>
      <c r="K1141" s="8" t="s">
        <v>4445</v>
      </c>
      <c r="L1141" s="6" t="s">
        <v>43</v>
      </c>
      <c r="M1141" s="7" t="s">
        <v>43</v>
      </c>
      <c r="N1141" s="7"/>
      <c r="O1141" s="7">
        <v>45988</v>
      </c>
      <c r="P1141" s="6" t="s">
        <v>107</v>
      </c>
      <c r="Q1141" s="8" t="s">
        <v>4446</v>
      </c>
      <c r="R1141" t="str">
        <f>HYPERLINK("https://docs.wto.org/imrd/directdoc.asp?DDFDocuments/t/G/SPS/NPHL534.docx", "https://docs.wto.org/imrd/directdoc.asp?DDFDocuments/t/G/SPS/NPHL534.docx")</f>
        <v>https://docs.wto.org/imrd/directdoc.asp?DDFDocuments/t/G/SPS/NPHL534.docx</v>
      </c>
      <c r="S1141" t="str">
        <f>HYPERLINK("https://docs.wto.org/imrd/directdoc.asp?DDFDocuments/u/G/SPS/NPHL534.docx", "https://docs.wto.org/imrd/directdoc.asp?DDFDocuments/u/G/SPS/NPHL534.docx")</f>
        <v>https://docs.wto.org/imrd/directdoc.asp?DDFDocuments/u/G/SPS/NPHL534.docx</v>
      </c>
      <c r="T1141" t="str">
        <f>HYPERLINK("https://docs.wto.org/imrd/directdoc.asp?DDFDocuments/v/G/SPS/NPHL534.docx", "https://docs.wto.org/imrd/directdoc.asp?DDFDocuments/v/G/SPS/NPHL534.docx")</f>
        <v>https://docs.wto.org/imrd/directdoc.asp?DDFDocuments/v/G/SPS/NPHL534.docx</v>
      </c>
      <c r="U1141" t="s">
        <v>43</v>
      </c>
      <c r="V1141" t="s">
        <v>43</v>
      </c>
      <c r="W1141" t="s">
        <v>43</v>
      </c>
      <c r="X1141" t="s">
        <v>43</v>
      </c>
      <c r="Y1141" t="s">
        <v>43</v>
      </c>
      <c r="Z1141" t="s">
        <v>43</v>
      </c>
      <c r="AA1141" t="s">
        <v>43</v>
      </c>
      <c r="AB1141" s="2" t="s">
        <v>43</v>
      </c>
      <c r="AC1141" t="s">
        <v>46</v>
      </c>
      <c r="AD1141" t="s">
        <v>64</v>
      </c>
      <c r="AE1141" t="s">
        <v>46</v>
      </c>
      <c r="AF1141" t="s">
        <v>46</v>
      </c>
      <c r="AG1141" t="s">
        <v>64</v>
      </c>
      <c r="AH1141" s="2" t="s">
        <v>43</v>
      </c>
    </row>
    <row r="1142" spans="1:34" ht="135">
      <c r="A1142" s="6" t="s">
        <v>82</v>
      </c>
      <c r="B1142" s="7">
        <v>46038</v>
      </c>
      <c r="C1142" s="9" t="str">
        <f>HYPERLINK("https://eping.wto.org/en/Search?viewData= G/SPS/N/JPN/1382"," G/SPS/N/JPN/1382")</f>
        <v xml:space="preserve"> G/SPS/N/JPN/1382</v>
      </c>
      <c r="D1142" s="8" t="s">
        <v>4447</v>
      </c>
      <c r="E1142" s="8" t="s">
        <v>4448</v>
      </c>
      <c r="F1142" s="8" t="s">
        <v>4449</v>
      </c>
      <c r="G1142" s="8" t="s">
        <v>43</v>
      </c>
      <c r="H1142" s="8" t="s">
        <v>43</v>
      </c>
      <c r="I1142" s="8" t="s">
        <v>104</v>
      </c>
      <c r="J1142" s="8" t="s">
        <v>43</v>
      </c>
      <c r="K1142" s="8" t="s">
        <v>749</v>
      </c>
      <c r="L1142" s="6" t="s">
        <v>43</v>
      </c>
      <c r="M1142" s="7" t="s">
        <v>43</v>
      </c>
      <c r="N1142" s="7">
        <v>46014</v>
      </c>
      <c r="O1142" s="7">
        <v>46014</v>
      </c>
      <c r="P1142" s="6" t="s">
        <v>62</v>
      </c>
      <c r="Q1142" s="8" t="s">
        <v>4450</v>
      </c>
      <c r="R1142" t="str">
        <f>HYPERLINK("https://docs.wto.org/imrd/directdoc.asp?DDFDocuments/t/G/SPS/NJPN1382.docx", "https://docs.wto.org/imrd/directdoc.asp?DDFDocuments/t/G/SPS/NJPN1382.docx")</f>
        <v>https://docs.wto.org/imrd/directdoc.asp?DDFDocuments/t/G/SPS/NJPN1382.docx</v>
      </c>
      <c r="S1142" t="str">
        <f>HYPERLINK("https://docs.wto.org/imrd/directdoc.asp?DDFDocuments/u/G/SPS/NJPN1382.docx", "https://docs.wto.org/imrd/directdoc.asp?DDFDocuments/u/G/SPS/NJPN1382.docx")</f>
        <v>https://docs.wto.org/imrd/directdoc.asp?DDFDocuments/u/G/SPS/NJPN1382.docx</v>
      </c>
      <c r="T1142" t="str">
        <f>HYPERLINK("https://docs.wto.org/imrd/directdoc.asp?DDFDocuments/v/G/SPS/NJPN1382.docx", "https://docs.wto.org/imrd/directdoc.asp?DDFDocuments/v/G/SPS/NJPN1382.docx")</f>
        <v>https://docs.wto.org/imrd/directdoc.asp?DDFDocuments/v/G/SPS/NJPN1382.docx</v>
      </c>
      <c r="U1142" t="s">
        <v>43</v>
      </c>
      <c r="V1142" t="s">
        <v>43</v>
      </c>
      <c r="W1142" t="s">
        <v>43</v>
      </c>
      <c r="X1142" t="s">
        <v>43</v>
      </c>
      <c r="Y1142" t="s">
        <v>43</v>
      </c>
      <c r="Z1142" t="s">
        <v>43</v>
      </c>
      <c r="AA1142" t="s">
        <v>43</v>
      </c>
      <c r="AB1142" s="2" t="s">
        <v>43</v>
      </c>
      <c r="AC1142" t="s">
        <v>46</v>
      </c>
      <c r="AD1142" t="s">
        <v>64</v>
      </c>
      <c r="AE1142" t="s">
        <v>46</v>
      </c>
      <c r="AF1142" t="s">
        <v>46</v>
      </c>
      <c r="AG1142" t="s">
        <v>64</v>
      </c>
      <c r="AH1142" s="2" t="s">
        <v>43</v>
      </c>
    </row>
    <row r="1143" spans="1:34" ht="45">
      <c r="A1143" s="6" t="s">
        <v>108</v>
      </c>
      <c r="B1143" s="7">
        <v>46038</v>
      </c>
      <c r="C1143" s="9" t="str">
        <f>HYPERLINK("https://eping.wto.org/en/Search?viewData= G/TBT/N/BDI/709, G/TBT/N/KEN/1977, G/TBT/N/RWA/1339, G/TBT/N/TZA/1489, G/TBT/N/UGA/2308"," G/TBT/N/BDI/709, G/TBT/N/KEN/1977, G/TBT/N/RWA/1339, G/TBT/N/TZA/1489, G/TBT/N/UGA/2308")</f>
        <v xml:space="preserve"> G/TBT/N/BDI/709, G/TBT/N/KEN/1977, G/TBT/N/RWA/1339, G/TBT/N/TZA/1489, G/TBT/N/UGA/2308</v>
      </c>
      <c r="D1143" s="8" t="s">
        <v>4417</v>
      </c>
      <c r="E1143" s="8" t="s">
        <v>4418</v>
      </c>
      <c r="F1143" s="8" t="s">
        <v>4419</v>
      </c>
      <c r="G1143" s="8" t="s">
        <v>43</v>
      </c>
      <c r="H1143" s="8" t="s">
        <v>4420</v>
      </c>
      <c r="I1143" s="8" t="s">
        <v>113</v>
      </c>
      <c r="J1143" s="8" t="s">
        <v>43</v>
      </c>
      <c r="K1143" s="8" t="s">
        <v>43</v>
      </c>
      <c r="L1143" s="6"/>
      <c r="M1143" s="7">
        <v>46098</v>
      </c>
      <c r="N1143" s="7" t="s">
        <v>79</v>
      </c>
      <c r="O1143" s="7" t="s">
        <v>114</v>
      </c>
      <c r="P1143" s="6" t="s">
        <v>62</v>
      </c>
      <c r="Q1143" s="8" t="s">
        <v>4421</v>
      </c>
      <c r="R1143" t="str">
        <f>HYPERLINK("https://docs.wto.org/imrd/directdoc.asp?DDFDocuments/t/G/TBTN26/BDI709.docx", "https://docs.wto.org/imrd/directdoc.asp?DDFDocuments/t/G/TBTN26/BDI709.docx")</f>
        <v>https://docs.wto.org/imrd/directdoc.asp?DDFDocuments/t/G/TBTN26/BDI709.docx</v>
      </c>
      <c r="S1143" t="str">
        <f>HYPERLINK("https://docs.wto.org/imrd/directdoc.asp?DDFDocuments/u/G/TBTN26/BDI709.docx", "https://docs.wto.org/imrd/directdoc.asp?DDFDocuments/u/G/TBTN26/BDI709.docx")</f>
        <v>https://docs.wto.org/imrd/directdoc.asp?DDFDocuments/u/G/TBTN26/BDI709.docx</v>
      </c>
      <c r="T1143" t="str">
        <f>HYPERLINK("https://docs.wto.org/imrd/directdoc.asp?DDFDocuments/v/G/TBTN26/BDI709.docx", "https://docs.wto.org/imrd/directdoc.asp?DDFDocuments/v/G/TBTN26/BDI709.docx")</f>
        <v>https://docs.wto.org/imrd/directdoc.asp?DDFDocuments/v/G/TBTN26/BDI709.docx</v>
      </c>
      <c r="U1143" t="s">
        <v>64</v>
      </c>
      <c r="V1143" t="s">
        <v>46</v>
      </c>
      <c r="W1143" t="s">
        <v>46</v>
      </c>
      <c r="X1143" t="s">
        <v>46</v>
      </c>
      <c r="Y1143" t="s">
        <v>46</v>
      </c>
      <c r="Z1143" t="s">
        <v>46</v>
      </c>
      <c r="AA1143" t="s">
        <v>46</v>
      </c>
      <c r="AB1143" s="2" t="s">
        <v>4422</v>
      </c>
      <c r="AC1143" t="s">
        <v>43</v>
      </c>
      <c r="AD1143" t="s">
        <v>43</v>
      </c>
      <c r="AE1143" t="s">
        <v>43</v>
      </c>
      <c r="AF1143" t="s">
        <v>43</v>
      </c>
      <c r="AG1143" t="s">
        <v>43</v>
      </c>
      <c r="AH1143" s="2" t="s">
        <v>43</v>
      </c>
    </row>
    <row r="1144" spans="1:34" ht="75">
      <c r="A1144" s="6" t="s">
        <v>124</v>
      </c>
      <c r="B1144" s="7">
        <v>46038</v>
      </c>
      <c r="C1144" s="9" t="str">
        <f>HYPERLINK("https://eping.wto.org/en/Search?viewData= G/TBT/N/BDI/708, G/TBT/N/KEN/1976, G/TBT/N/RWA/1338, G/TBT/N/TZA/1488, G/TBT/N/UGA/2307"," G/TBT/N/BDI/708, G/TBT/N/KEN/1976, G/TBT/N/RWA/1338, G/TBT/N/TZA/1488, G/TBT/N/UGA/2307")</f>
        <v xml:space="preserve"> G/TBT/N/BDI/708, G/TBT/N/KEN/1976, G/TBT/N/RWA/1338, G/TBT/N/TZA/1488, G/TBT/N/UGA/2307</v>
      </c>
      <c r="D1144" s="8" t="s">
        <v>4395</v>
      </c>
      <c r="E1144" s="8" t="s">
        <v>4396</v>
      </c>
      <c r="F1144" s="8" t="s">
        <v>4365</v>
      </c>
      <c r="G1144" s="8" t="s">
        <v>43</v>
      </c>
      <c r="H1144" s="8" t="s">
        <v>4366</v>
      </c>
      <c r="I1144" s="8" t="s">
        <v>113</v>
      </c>
      <c r="J1144" s="8" t="s">
        <v>43</v>
      </c>
      <c r="K1144" s="8" t="s">
        <v>43</v>
      </c>
      <c r="L1144" s="6"/>
      <c r="M1144" s="7">
        <v>46098</v>
      </c>
      <c r="N1144" s="7" t="s">
        <v>79</v>
      </c>
      <c r="O1144" s="7" t="s">
        <v>114</v>
      </c>
      <c r="P1144" s="6" t="s">
        <v>62</v>
      </c>
      <c r="Q1144" s="8" t="s">
        <v>4397</v>
      </c>
      <c r="R1144" t="str">
        <f>HYPERLINK("https://docs.wto.org/imrd/directdoc.asp?DDFDocuments/t/G/TBTN26/BDI708.docx", "https://docs.wto.org/imrd/directdoc.asp?DDFDocuments/t/G/TBTN26/BDI708.docx")</f>
        <v>https://docs.wto.org/imrd/directdoc.asp?DDFDocuments/t/G/TBTN26/BDI708.docx</v>
      </c>
      <c r="S1144" t="str">
        <f>HYPERLINK("https://docs.wto.org/imrd/directdoc.asp?DDFDocuments/u/G/TBTN26/BDI708.docx", "https://docs.wto.org/imrd/directdoc.asp?DDFDocuments/u/G/TBTN26/BDI708.docx")</f>
        <v>https://docs.wto.org/imrd/directdoc.asp?DDFDocuments/u/G/TBTN26/BDI708.docx</v>
      </c>
      <c r="T1144" t="str">
        <f>HYPERLINK("https://docs.wto.org/imrd/directdoc.asp?DDFDocuments/v/G/TBTN26/BDI708.docx", "https://docs.wto.org/imrd/directdoc.asp?DDFDocuments/v/G/TBTN26/BDI708.docx")</f>
        <v>https://docs.wto.org/imrd/directdoc.asp?DDFDocuments/v/G/TBTN26/BDI708.docx</v>
      </c>
      <c r="U1144" t="s">
        <v>64</v>
      </c>
      <c r="V1144" t="s">
        <v>46</v>
      </c>
      <c r="W1144" t="s">
        <v>46</v>
      </c>
      <c r="X1144" t="s">
        <v>46</v>
      </c>
      <c r="Y1144" t="s">
        <v>46</v>
      </c>
      <c r="Z1144" t="s">
        <v>46</v>
      </c>
      <c r="AA1144" t="s">
        <v>46</v>
      </c>
      <c r="AB1144" s="2" t="s">
        <v>4398</v>
      </c>
      <c r="AC1144" t="s">
        <v>43</v>
      </c>
      <c r="AD1144" t="s">
        <v>43</v>
      </c>
      <c r="AE1144" t="s">
        <v>43</v>
      </c>
      <c r="AF1144" t="s">
        <v>43</v>
      </c>
      <c r="AG1144" t="s">
        <v>43</v>
      </c>
      <c r="AH1144" s="2" t="s">
        <v>43</v>
      </c>
    </row>
    <row r="1145" spans="1:34">
      <c r="A1145" s="6" t="s">
        <v>132</v>
      </c>
      <c r="B1145" s="7">
        <v>46038</v>
      </c>
      <c r="C1145" s="9" t="str">
        <f>HYPERLINK("https://eping.wto.org/en/Search?viewData= G/TBT/10.7/N/36/Add.1"," G/TBT/10.7/N/36/Add.1")</f>
        <v xml:space="preserve"> G/TBT/10.7/N/36/Add.1</v>
      </c>
      <c r="D1145" s="8" t="s">
        <v>43</v>
      </c>
      <c r="E1145" s="8" t="s">
        <v>43</v>
      </c>
      <c r="F1145" s="8"/>
      <c r="G1145" s="8" t="s">
        <v>43</v>
      </c>
      <c r="H1145" s="8" t="s">
        <v>1860</v>
      </c>
      <c r="I1145" s="8" t="s">
        <v>43</v>
      </c>
      <c r="J1145" s="8" t="s">
        <v>43</v>
      </c>
      <c r="K1145" s="8" t="s">
        <v>43</v>
      </c>
      <c r="L1145" s="6"/>
      <c r="M1145" s="7" t="s">
        <v>43</v>
      </c>
      <c r="N1145" s="7"/>
      <c r="O1145" s="7"/>
      <c r="P1145" s="6" t="s">
        <v>4451</v>
      </c>
      <c r="Q1145" s="6"/>
      <c r="R1145" t="str">
        <f>HYPERLINK("https://docs.wto.org/imrd/directdoc.asp?DDFDocuments/t/G/TBT10_7/N36A1.docx", "https://docs.wto.org/imrd/directdoc.asp?DDFDocuments/t/G/TBT10_7/N36A1.docx")</f>
        <v>https://docs.wto.org/imrd/directdoc.asp?DDFDocuments/t/G/TBT10_7/N36A1.docx</v>
      </c>
      <c r="S1145" t="str">
        <f>HYPERLINK("https://docs.wto.org/imrd/directdoc.asp?DDFDocuments/u/G/TBT10_7/N36A1.docx", "https://docs.wto.org/imrd/directdoc.asp?DDFDocuments/u/G/TBT10_7/N36A1.docx")</f>
        <v>https://docs.wto.org/imrd/directdoc.asp?DDFDocuments/u/G/TBT10_7/N36A1.docx</v>
      </c>
      <c r="T1145" t="str">
        <f>HYPERLINK("https://docs.wto.org/imrd/directdoc.asp?DDFDocuments/v/G/TBT10_7/N36A1.docx", "https://docs.wto.org/imrd/directdoc.asp?DDFDocuments/v/G/TBT10_7/N36A1.docx")</f>
        <v>https://docs.wto.org/imrd/directdoc.asp?DDFDocuments/v/G/TBT10_7/N36A1.docx</v>
      </c>
      <c r="U1145" t="s">
        <v>43</v>
      </c>
      <c r="V1145" t="s">
        <v>43</v>
      </c>
      <c r="W1145" t="s">
        <v>43</v>
      </c>
      <c r="X1145" t="s">
        <v>43</v>
      </c>
      <c r="Y1145" t="s">
        <v>43</v>
      </c>
      <c r="Z1145" t="s">
        <v>43</v>
      </c>
      <c r="AA1145" t="s">
        <v>43</v>
      </c>
      <c r="AB1145" s="2" t="s">
        <v>43</v>
      </c>
      <c r="AC1145" t="s">
        <v>43</v>
      </c>
      <c r="AD1145" t="s">
        <v>43</v>
      </c>
      <c r="AE1145" t="s">
        <v>43</v>
      </c>
      <c r="AF1145" t="s">
        <v>43</v>
      </c>
      <c r="AG1145" t="s">
        <v>43</v>
      </c>
      <c r="AH1145" s="2" t="s">
        <v>43</v>
      </c>
    </row>
    <row r="1146" spans="1:34" ht="60">
      <c r="A1146" s="6" t="s">
        <v>108</v>
      </c>
      <c r="B1146" s="7">
        <v>46038</v>
      </c>
      <c r="C1146" s="9" t="str">
        <f>HYPERLINK("https://eping.wto.org/en/Search?viewData= G/TBT/N/BDI/710, G/TBT/N/KEN/1978, G/TBT/N/RWA/1340, G/TBT/N/TZA/1490, G/TBT/N/UGA/2309"," G/TBT/N/BDI/710, G/TBT/N/KEN/1978, G/TBT/N/RWA/1340, G/TBT/N/TZA/1490, G/TBT/N/UGA/2309")</f>
        <v xml:space="preserve"> G/TBT/N/BDI/710, G/TBT/N/KEN/1978, G/TBT/N/RWA/1340, G/TBT/N/TZA/1490, G/TBT/N/UGA/2309</v>
      </c>
      <c r="D1146" s="8" t="s">
        <v>4382</v>
      </c>
      <c r="E1146" s="8" t="s">
        <v>4383</v>
      </c>
      <c r="F1146" s="8" t="s">
        <v>4384</v>
      </c>
      <c r="G1146" s="8" t="s">
        <v>43</v>
      </c>
      <c r="H1146" s="8" t="s">
        <v>4385</v>
      </c>
      <c r="I1146" s="8" t="s">
        <v>113</v>
      </c>
      <c r="J1146" s="8" t="s">
        <v>43</v>
      </c>
      <c r="K1146" s="8" t="s">
        <v>43</v>
      </c>
      <c r="L1146" s="6"/>
      <c r="M1146" s="7">
        <v>46098</v>
      </c>
      <c r="N1146" s="7" t="s">
        <v>79</v>
      </c>
      <c r="O1146" s="7" t="s">
        <v>114</v>
      </c>
      <c r="P1146" s="6" t="s">
        <v>62</v>
      </c>
      <c r="Q1146" s="8" t="s">
        <v>4386</v>
      </c>
      <c r="R1146" t="str">
        <f>HYPERLINK("https://docs.wto.org/imrd/directdoc.asp?DDFDocuments/t/G/TBTN26/BDI710.docx", "https://docs.wto.org/imrd/directdoc.asp?DDFDocuments/t/G/TBTN26/BDI710.docx")</f>
        <v>https://docs.wto.org/imrd/directdoc.asp?DDFDocuments/t/G/TBTN26/BDI710.docx</v>
      </c>
      <c r="S1146" t="str">
        <f>HYPERLINK("https://docs.wto.org/imrd/directdoc.asp?DDFDocuments/u/G/TBTN26/BDI710.docx", "https://docs.wto.org/imrd/directdoc.asp?DDFDocuments/u/G/TBTN26/BDI710.docx")</f>
        <v>https://docs.wto.org/imrd/directdoc.asp?DDFDocuments/u/G/TBTN26/BDI710.docx</v>
      </c>
      <c r="T1146" t="str">
        <f>HYPERLINK("https://docs.wto.org/imrd/directdoc.asp?DDFDocuments/v/G/TBTN26/BDI710.docx", "https://docs.wto.org/imrd/directdoc.asp?DDFDocuments/v/G/TBTN26/BDI710.docx")</f>
        <v>https://docs.wto.org/imrd/directdoc.asp?DDFDocuments/v/G/TBTN26/BDI710.docx</v>
      </c>
      <c r="U1146" t="s">
        <v>64</v>
      </c>
      <c r="V1146" t="s">
        <v>46</v>
      </c>
      <c r="W1146" t="s">
        <v>46</v>
      </c>
      <c r="X1146" t="s">
        <v>46</v>
      </c>
      <c r="Y1146" t="s">
        <v>46</v>
      </c>
      <c r="Z1146" t="s">
        <v>46</v>
      </c>
      <c r="AA1146" t="s">
        <v>46</v>
      </c>
      <c r="AB1146" s="2" t="s">
        <v>43</v>
      </c>
      <c r="AC1146" t="s">
        <v>43</v>
      </c>
      <c r="AD1146" t="s">
        <v>43</v>
      </c>
      <c r="AE1146" t="s">
        <v>43</v>
      </c>
      <c r="AF1146" t="s">
        <v>43</v>
      </c>
      <c r="AG1146" t="s">
        <v>43</v>
      </c>
      <c r="AH1146" s="2" t="s">
        <v>43</v>
      </c>
    </row>
    <row r="1147" spans="1:34" ht="75">
      <c r="A1147" s="6" t="s">
        <v>390</v>
      </c>
      <c r="B1147" s="7">
        <v>46038</v>
      </c>
      <c r="C1147" s="9" t="str">
        <f>HYPERLINK("https://eping.wto.org/en/Search?viewData= G/TBT/N/BDI/708, G/TBT/N/KEN/1976, G/TBT/N/RWA/1338, G/TBT/N/TZA/1488, G/TBT/N/UGA/2307"," G/TBT/N/BDI/708, G/TBT/N/KEN/1976, G/TBT/N/RWA/1338, G/TBT/N/TZA/1488, G/TBT/N/UGA/2307")</f>
        <v xml:space="preserve"> G/TBT/N/BDI/708, G/TBT/N/KEN/1976, G/TBT/N/RWA/1338, G/TBT/N/TZA/1488, G/TBT/N/UGA/2307</v>
      </c>
      <c r="D1147" s="8" t="s">
        <v>4395</v>
      </c>
      <c r="E1147" s="8" t="s">
        <v>4396</v>
      </c>
      <c r="F1147" s="8" t="s">
        <v>4365</v>
      </c>
      <c r="G1147" s="8" t="s">
        <v>43</v>
      </c>
      <c r="H1147" s="8" t="s">
        <v>4366</v>
      </c>
      <c r="I1147" s="8" t="s">
        <v>113</v>
      </c>
      <c r="J1147" s="8" t="s">
        <v>43</v>
      </c>
      <c r="K1147" s="8" t="s">
        <v>43</v>
      </c>
      <c r="L1147" s="6"/>
      <c r="M1147" s="7">
        <v>46098</v>
      </c>
      <c r="N1147" s="7" t="s">
        <v>79</v>
      </c>
      <c r="O1147" s="7" t="s">
        <v>114</v>
      </c>
      <c r="P1147" s="6" t="s">
        <v>62</v>
      </c>
      <c r="Q1147" s="8" t="s">
        <v>4397</v>
      </c>
      <c r="R1147" t="str">
        <f>HYPERLINK("https://docs.wto.org/imrd/directdoc.asp?DDFDocuments/t/G/TBTN26/BDI708.docx", "https://docs.wto.org/imrd/directdoc.asp?DDFDocuments/t/G/TBTN26/BDI708.docx")</f>
        <v>https://docs.wto.org/imrd/directdoc.asp?DDFDocuments/t/G/TBTN26/BDI708.docx</v>
      </c>
      <c r="S1147" t="str">
        <f>HYPERLINK("https://docs.wto.org/imrd/directdoc.asp?DDFDocuments/u/G/TBTN26/BDI708.docx", "https://docs.wto.org/imrd/directdoc.asp?DDFDocuments/u/G/TBTN26/BDI708.docx")</f>
        <v>https://docs.wto.org/imrd/directdoc.asp?DDFDocuments/u/G/TBTN26/BDI708.docx</v>
      </c>
      <c r="T1147" t="str">
        <f>HYPERLINK("https://docs.wto.org/imrd/directdoc.asp?DDFDocuments/v/G/TBTN26/BDI708.docx", "https://docs.wto.org/imrd/directdoc.asp?DDFDocuments/v/G/TBTN26/BDI708.docx")</f>
        <v>https://docs.wto.org/imrd/directdoc.asp?DDFDocuments/v/G/TBTN26/BDI708.docx</v>
      </c>
      <c r="U1147" t="s">
        <v>64</v>
      </c>
      <c r="V1147" t="s">
        <v>46</v>
      </c>
      <c r="W1147" t="s">
        <v>46</v>
      </c>
      <c r="X1147" t="s">
        <v>46</v>
      </c>
      <c r="Y1147" t="s">
        <v>46</v>
      </c>
      <c r="Z1147" t="s">
        <v>46</v>
      </c>
      <c r="AA1147" t="s">
        <v>46</v>
      </c>
      <c r="AB1147" s="2" t="s">
        <v>4398</v>
      </c>
      <c r="AC1147" t="s">
        <v>43</v>
      </c>
      <c r="AD1147" t="s">
        <v>43</v>
      </c>
      <c r="AE1147" t="s">
        <v>43</v>
      </c>
      <c r="AF1147" t="s">
        <v>43</v>
      </c>
      <c r="AG1147" t="s">
        <v>43</v>
      </c>
      <c r="AH1147" s="2" t="s">
        <v>43</v>
      </c>
    </row>
    <row r="1148" spans="1:34" ht="45">
      <c r="A1148" s="6" t="s">
        <v>509</v>
      </c>
      <c r="B1148" s="7">
        <v>46038</v>
      </c>
      <c r="C1148" s="9" t="str">
        <f>HYPERLINK("https://eping.wto.org/en/Search?viewData= G/TBT/N/BDI/709, G/TBT/N/KEN/1977, G/TBT/N/RWA/1339, G/TBT/N/TZA/1489, G/TBT/N/UGA/2308"," G/TBT/N/BDI/709, G/TBT/N/KEN/1977, G/TBT/N/RWA/1339, G/TBT/N/TZA/1489, G/TBT/N/UGA/2308")</f>
        <v xml:space="preserve"> G/TBT/N/BDI/709, G/TBT/N/KEN/1977, G/TBT/N/RWA/1339, G/TBT/N/TZA/1489, G/TBT/N/UGA/2308</v>
      </c>
      <c r="D1148" s="8" t="s">
        <v>4417</v>
      </c>
      <c r="E1148" s="8" t="s">
        <v>4418</v>
      </c>
      <c r="F1148" s="8" t="s">
        <v>4419</v>
      </c>
      <c r="G1148" s="8" t="s">
        <v>43</v>
      </c>
      <c r="H1148" s="8" t="s">
        <v>4420</v>
      </c>
      <c r="I1148" s="8" t="s">
        <v>113</v>
      </c>
      <c r="J1148" s="8" t="s">
        <v>43</v>
      </c>
      <c r="K1148" s="8" t="s">
        <v>43</v>
      </c>
      <c r="L1148" s="6"/>
      <c r="M1148" s="7">
        <v>46098</v>
      </c>
      <c r="N1148" s="7" t="s">
        <v>79</v>
      </c>
      <c r="O1148" s="7" t="s">
        <v>114</v>
      </c>
      <c r="P1148" s="6" t="s">
        <v>62</v>
      </c>
      <c r="Q1148" s="8" t="s">
        <v>4421</v>
      </c>
      <c r="R1148" t="str">
        <f>HYPERLINK("https://docs.wto.org/imrd/directdoc.asp?DDFDocuments/t/G/TBTN26/BDI709.docx", "https://docs.wto.org/imrd/directdoc.asp?DDFDocuments/t/G/TBTN26/BDI709.docx")</f>
        <v>https://docs.wto.org/imrd/directdoc.asp?DDFDocuments/t/G/TBTN26/BDI709.docx</v>
      </c>
      <c r="S1148" t="str">
        <f>HYPERLINK("https://docs.wto.org/imrd/directdoc.asp?DDFDocuments/u/G/TBTN26/BDI709.docx", "https://docs.wto.org/imrd/directdoc.asp?DDFDocuments/u/G/TBTN26/BDI709.docx")</f>
        <v>https://docs.wto.org/imrd/directdoc.asp?DDFDocuments/u/G/TBTN26/BDI709.docx</v>
      </c>
      <c r="T1148" t="str">
        <f>HYPERLINK("https://docs.wto.org/imrd/directdoc.asp?DDFDocuments/v/G/TBTN26/BDI709.docx", "https://docs.wto.org/imrd/directdoc.asp?DDFDocuments/v/G/TBTN26/BDI709.docx")</f>
        <v>https://docs.wto.org/imrd/directdoc.asp?DDFDocuments/v/G/TBTN26/BDI709.docx</v>
      </c>
      <c r="U1148" t="s">
        <v>64</v>
      </c>
      <c r="V1148" t="s">
        <v>46</v>
      </c>
      <c r="W1148" t="s">
        <v>46</v>
      </c>
      <c r="X1148" t="s">
        <v>46</v>
      </c>
      <c r="Y1148" t="s">
        <v>46</v>
      </c>
      <c r="Z1148" t="s">
        <v>46</v>
      </c>
      <c r="AA1148" t="s">
        <v>46</v>
      </c>
      <c r="AB1148" s="2" t="s">
        <v>4422</v>
      </c>
      <c r="AC1148" t="s">
        <v>43</v>
      </c>
      <c r="AD1148" t="s">
        <v>43</v>
      </c>
      <c r="AE1148" t="s">
        <v>43</v>
      </c>
      <c r="AF1148" t="s">
        <v>43</v>
      </c>
      <c r="AG1148" t="s">
        <v>43</v>
      </c>
      <c r="AH1148" s="2" t="s">
        <v>43</v>
      </c>
    </row>
    <row r="1149" spans="1:34" ht="45">
      <c r="A1149" s="6" t="s">
        <v>124</v>
      </c>
      <c r="B1149" s="7">
        <v>46038</v>
      </c>
      <c r="C1149" s="9" t="str">
        <f>HYPERLINK("https://eping.wto.org/en/Search?viewData= G/TBT/N/BDI/711, G/TBT/N/KEN/1979, G/TBT/N/RWA/1341, G/TBT/N/TZA/1491, G/TBT/N/UGA/2310"," G/TBT/N/BDI/711, G/TBT/N/KEN/1979, G/TBT/N/RWA/1341, G/TBT/N/TZA/1491, G/TBT/N/UGA/2310")</f>
        <v xml:space="preserve"> G/TBT/N/BDI/711, G/TBT/N/KEN/1979, G/TBT/N/RWA/1341, G/TBT/N/TZA/1491, G/TBT/N/UGA/2310</v>
      </c>
      <c r="D1149" s="8" t="s">
        <v>4402</v>
      </c>
      <c r="E1149" s="8" t="s">
        <v>4403</v>
      </c>
      <c r="F1149" s="8" t="s">
        <v>4404</v>
      </c>
      <c r="G1149" s="8" t="s">
        <v>43</v>
      </c>
      <c r="H1149" s="8" t="s">
        <v>4405</v>
      </c>
      <c r="I1149" s="8" t="s">
        <v>113</v>
      </c>
      <c r="J1149" s="8" t="s">
        <v>43</v>
      </c>
      <c r="K1149" s="8" t="s">
        <v>43</v>
      </c>
      <c r="L1149" s="6"/>
      <c r="M1149" s="7">
        <v>46098</v>
      </c>
      <c r="N1149" s="7" t="s">
        <v>79</v>
      </c>
      <c r="O1149" s="7" t="s">
        <v>114</v>
      </c>
      <c r="P1149" s="6" t="s">
        <v>62</v>
      </c>
      <c r="Q1149" s="8" t="s">
        <v>4406</v>
      </c>
      <c r="R1149" t="str">
        <f>HYPERLINK("https://docs.wto.org/imrd/directdoc.asp?DDFDocuments/t/G/TBTN26/BDI711.docx", "https://docs.wto.org/imrd/directdoc.asp?DDFDocuments/t/G/TBTN26/BDI711.docx")</f>
        <v>https://docs.wto.org/imrd/directdoc.asp?DDFDocuments/t/G/TBTN26/BDI711.docx</v>
      </c>
      <c r="S1149" t="str">
        <f>HYPERLINK("https://docs.wto.org/imrd/directdoc.asp?DDFDocuments/u/G/TBTN26/BDI711.docx", "https://docs.wto.org/imrd/directdoc.asp?DDFDocuments/u/G/TBTN26/BDI711.docx")</f>
        <v>https://docs.wto.org/imrd/directdoc.asp?DDFDocuments/u/G/TBTN26/BDI711.docx</v>
      </c>
      <c r="T1149" t="str">
        <f>HYPERLINK("https://docs.wto.org/imrd/directdoc.asp?DDFDocuments/v/G/TBTN26/BDI711.docx", "https://docs.wto.org/imrd/directdoc.asp?DDFDocuments/v/G/TBTN26/BDI711.docx")</f>
        <v>https://docs.wto.org/imrd/directdoc.asp?DDFDocuments/v/G/TBTN26/BDI711.docx</v>
      </c>
      <c r="U1149" t="s">
        <v>64</v>
      </c>
      <c r="V1149" t="s">
        <v>46</v>
      </c>
      <c r="W1149" t="s">
        <v>46</v>
      </c>
      <c r="X1149" t="s">
        <v>46</v>
      </c>
      <c r="Y1149" t="s">
        <v>46</v>
      </c>
      <c r="Z1149" t="s">
        <v>46</v>
      </c>
      <c r="AA1149" t="s">
        <v>46</v>
      </c>
      <c r="AB1149" s="2" t="s">
        <v>43</v>
      </c>
      <c r="AC1149" t="s">
        <v>43</v>
      </c>
      <c r="AD1149" t="s">
        <v>43</v>
      </c>
      <c r="AE1149" t="s">
        <v>43</v>
      </c>
      <c r="AF1149" t="s">
        <v>43</v>
      </c>
      <c r="AG1149" t="s">
        <v>43</v>
      </c>
      <c r="AH1149" s="2" t="s">
        <v>43</v>
      </c>
    </row>
    <row r="1150" spans="1:34" ht="60">
      <c r="A1150" s="6" t="s">
        <v>756</v>
      </c>
      <c r="B1150" s="7">
        <v>46038</v>
      </c>
      <c r="C1150" s="9" t="str">
        <f>HYPERLINK("https://eping.wto.org/en/Search?viewData= G/SPS/N/PER/1106"," G/SPS/N/PER/1106")</f>
        <v xml:space="preserve"> G/SPS/N/PER/1106</v>
      </c>
      <c r="D1150" s="8" t="s">
        <v>4452</v>
      </c>
      <c r="E1150" s="8" t="s">
        <v>4453</v>
      </c>
      <c r="F1150" s="8" t="s">
        <v>4454</v>
      </c>
      <c r="G1150" s="8" t="s">
        <v>4429</v>
      </c>
      <c r="H1150" s="8" t="s">
        <v>43</v>
      </c>
      <c r="I1150" s="8" t="s">
        <v>254</v>
      </c>
      <c r="J1150" s="8" t="s">
        <v>43</v>
      </c>
      <c r="K1150" s="8" t="s">
        <v>255</v>
      </c>
      <c r="L1150" s="6" t="s">
        <v>158</v>
      </c>
      <c r="M1150" s="7">
        <v>46098</v>
      </c>
      <c r="N1150" s="7" t="s">
        <v>79</v>
      </c>
      <c r="O1150" s="7" t="s">
        <v>761</v>
      </c>
      <c r="P1150" s="6" t="s">
        <v>62</v>
      </c>
      <c r="Q1150" s="8" t="s">
        <v>4455</v>
      </c>
      <c r="R1150" t="str">
        <f>HYPERLINK("https://docs.wto.org/imrd/directdoc.asp?DDFDocuments/t/G/SPS/NPER1106.docx", "https://docs.wto.org/imrd/directdoc.asp?DDFDocuments/t/G/SPS/NPER1106.docx")</f>
        <v>https://docs.wto.org/imrd/directdoc.asp?DDFDocuments/t/G/SPS/NPER1106.docx</v>
      </c>
      <c r="S1150" t="str">
        <f>HYPERLINK("https://docs.wto.org/imrd/directdoc.asp?DDFDocuments/u/G/SPS/NPER1106.docx", "https://docs.wto.org/imrd/directdoc.asp?DDFDocuments/u/G/SPS/NPER1106.docx")</f>
        <v>https://docs.wto.org/imrd/directdoc.asp?DDFDocuments/u/G/SPS/NPER1106.docx</v>
      </c>
      <c r="T1150" t="str">
        <f>HYPERLINK("https://docs.wto.org/imrd/directdoc.asp?DDFDocuments/v/G/SPS/NPER1106.docx", "https://docs.wto.org/imrd/directdoc.asp?DDFDocuments/v/G/SPS/NPER1106.docx")</f>
        <v>https://docs.wto.org/imrd/directdoc.asp?DDFDocuments/v/G/SPS/NPER1106.docx</v>
      </c>
      <c r="U1150" t="s">
        <v>43</v>
      </c>
      <c r="V1150" t="s">
        <v>43</v>
      </c>
      <c r="W1150" t="s">
        <v>43</v>
      </c>
      <c r="X1150" t="s">
        <v>43</v>
      </c>
      <c r="Y1150" t="s">
        <v>43</v>
      </c>
      <c r="Z1150" t="s">
        <v>43</v>
      </c>
      <c r="AA1150" t="s">
        <v>43</v>
      </c>
      <c r="AB1150" s="2" t="s">
        <v>43</v>
      </c>
      <c r="AC1150" t="s">
        <v>46</v>
      </c>
      <c r="AD1150" t="s">
        <v>46</v>
      </c>
      <c r="AE1150" t="s">
        <v>64</v>
      </c>
      <c r="AF1150" t="s">
        <v>46</v>
      </c>
      <c r="AG1150" t="s">
        <v>64</v>
      </c>
      <c r="AH1150" s="2" t="s">
        <v>43</v>
      </c>
    </row>
    <row r="1151" spans="1:34" ht="45">
      <c r="A1151" s="6" t="s">
        <v>509</v>
      </c>
      <c r="B1151" s="7">
        <v>46038</v>
      </c>
      <c r="C1151" s="9" t="str">
        <f>HYPERLINK("https://eping.wto.org/en/Search?viewData= G/TBT/N/BDI/707, G/TBT/N/KEN/1975, G/TBT/N/RWA/1337, G/TBT/N/TZA/1487, G/TBT/N/UGA/2306"," G/TBT/N/BDI/707, G/TBT/N/KEN/1975, G/TBT/N/RWA/1337, G/TBT/N/TZA/1487, G/TBT/N/UGA/2306")</f>
        <v xml:space="preserve"> G/TBT/N/BDI/707, G/TBT/N/KEN/1975, G/TBT/N/RWA/1337, G/TBT/N/TZA/1487, G/TBT/N/UGA/2306</v>
      </c>
      <c r="D1151" s="8" t="s">
        <v>4363</v>
      </c>
      <c r="E1151" s="8" t="s">
        <v>4364</v>
      </c>
      <c r="F1151" s="8" t="s">
        <v>4365</v>
      </c>
      <c r="G1151" s="8" t="s">
        <v>43</v>
      </c>
      <c r="H1151" s="8" t="s">
        <v>4366</v>
      </c>
      <c r="I1151" s="8" t="s">
        <v>113</v>
      </c>
      <c r="J1151" s="8" t="s">
        <v>43</v>
      </c>
      <c r="K1151" s="8" t="s">
        <v>43</v>
      </c>
      <c r="L1151" s="6"/>
      <c r="M1151" s="7">
        <v>46098</v>
      </c>
      <c r="N1151" s="7" t="s">
        <v>79</v>
      </c>
      <c r="O1151" s="7" t="s">
        <v>114</v>
      </c>
      <c r="P1151" s="6" t="s">
        <v>62</v>
      </c>
      <c r="Q1151" s="8" t="s">
        <v>4367</v>
      </c>
      <c r="R1151" t="str">
        <f>HYPERLINK("https://docs.wto.org/imrd/directdoc.asp?DDFDocuments/t/G/TBTN26/BDI707.docx", "https://docs.wto.org/imrd/directdoc.asp?DDFDocuments/t/G/TBTN26/BDI707.docx")</f>
        <v>https://docs.wto.org/imrd/directdoc.asp?DDFDocuments/t/G/TBTN26/BDI707.docx</v>
      </c>
      <c r="S1151" t="str">
        <f>HYPERLINK("https://docs.wto.org/imrd/directdoc.asp?DDFDocuments/u/G/TBTN26/BDI707.docx", "https://docs.wto.org/imrd/directdoc.asp?DDFDocuments/u/G/TBTN26/BDI707.docx")</f>
        <v>https://docs.wto.org/imrd/directdoc.asp?DDFDocuments/u/G/TBTN26/BDI707.docx</v>
      </c>
      <c r="T1151" t="str">
        <f>HYPERLINK("https://docs.wto.org/imrd/directdoc.asp?DDFDocuments/v/G/TBTN26/BDI707.docx", "https://docs.wto.org/imrd/directdoc.asp?DDFDocuments/v/G/TBTN26/BDI707.docx")</f>
        <v>https://docs.wto.org/imrd/directdoc.asp?DDFDocuments/v/G/TBTN26/BDI707.docx</v>
      </c>
      <c r="U1151" t="s">
        <v>64</v>
      </c>
      <c r="V1151" t="s">
        <v>46</v>
      </c>
      <c r="W1151" t="s">
        <v>46</v>
      </c>
      <c r="X1151" t="s">
        <v>46</v>
      </c>
      <c r="Y1151" t="s">
        <v>46</v>
      </c>
      <c r="Z1151" t="s">
        <v>46</v>
      </c>
      <c r="AA1151" t="s">
        <v>46</v>
      </c>
      <c r="AB1151" s="2" t="s">
        <v>4368</v>
      </c>
      <c r="AC1151" t="s">
        <v>43</v>
      </c>
      <c r="AD1151" t="s">
        <v>43</v>
      </c>
      <c r="AE1151" t="s">
        <v>43</v>
      </c>
      <c r="AF1151" t="s">
        <v>43</v>
      </c>
      <c r="AG1151" t="s">
        <v>43</v>
      </c>
      <c r="AH1151" s="2" t="s">
        <v>43</v>
      </c>
    </row>
    <row r="1152" spans="1:34" ht="45">
      <c r="A1152" s="6" t="s">
        <v>390</v>
      </c>
      <c r="B1152" s="7">
        <v>46038</v>
      </c>
      <c r="C1152" s="9" t="str">
        <f>HYPERLINK("https://eping.wto.org/en/Search?viewData= G/TBT/N/BDI/707, G/TBT/N/KEN/1975, G/TBT/N/RWA/1337, G/TBT/N/TZA/1487, G/TBT/N/UGA/2306"," G/TBT/N/BDI/707, G/TBT/N/KEN/1975, G/TBT/N/RWA/1337, G/TBT/N/TZA/1487, G/TBT/N/UGA/2306")</f>
        <v xml:space="preserve"> G/TBT/N/BDI/707, G/TBT/N/KEN/1975, G/TBT/N/RWA/1337, G/TBT/N/TZA/1487, G/TBT/N/UGA/2306</v>
      </c>
      <c r="D1152" s="8" t="s">
        <v>4363</v>
      </c>
      <c r="E1152" s="8" t="s">
        <v>4364</v>
      </c>
      <c r="F1152" s="8" t="s">
        <v>4365</v>
      </c>
      <c r="G1152" s="8" t="s">
        <v>43</v>
      </c>
      <c r="H1152" s="8" t="s">
        <v>4366</v>
      </c>
      <c r="I1152" s="8" t="s">
        <v>113</v>
      </c>
      <c r="J1152" s="8" t="s">
        <v>43</v>
      </c>
      <c r="K1152" s="8" t="s">
        <v>43</v>
      </c>
      <c r="L1152" s="6"/>
      <c r="M1152" s="7">
        <v>46098</v>
      </c>
      <c r="N1152" s="7" t="s">
        <v>79</v>
      </c>
      <c r="O1152" s="7" t="s">
        <v>114</v>
      </c>
      <c r="P1152" s="6" t="s">
        <v>62</v>
      </c>
      <c r="Q1152" s="8" t="s">
        <v>4367</v>
      </c>
      <c r="R1152" t="str">
        <f>HYPERLINK("https://docs.wto.org/imrd/directdoc.asp?DDFDocuments/t/G/TBTN26/BDI707.docx", "https://docs.wto.org/imrd/directdoc.asp?DDFDocuments/t/G/TBTN26/BDI707.docx")</f>
        <v>https://docs.wto.org/imrd/directdoc.asp?DDFDocuments/t/G/TBTN26/BDI707.docx</v>
      </c>
      <c r="S1152" t="str">
        <f>HYPERLINK("https://docs.wto.org/imrd/directdoc.asp?DDFDocuments/u/G/TBTN26/BDI707.docx", "https://docs.wto.org/imrd/directdoc.asp?DDFDocuments/u/G/TBTN26/BDI707.docx")</f>
        <v>https://docs.wto.org/imrd/directdoc.asp?DDFDocuments/u/G/TBTN26/BDI707.docx</v>
      </c>
      <c r="T1152" t="str">
        <f>HYPERLINK("https://docs.wto.org/imrd/directdoc.asp?DDFDocuments/v/G/TBTN26/BDI707.docx", "https://docs.wto.org/imrd/directdoc.asp?DDFDocuments/v/G/TBTN26/BDI707.docx")</f>
        <v>https://docs.wto.org/imrd/directdoc.asp?DDFDocuments/v/G/TBTN26/BDI707.docx</v>
      </c>
      <c r="U1152" t="s">
        <v>64</v>
      </c>
      <c r="V1152" t="s">
        <v>46</v>
      </c>
      <c r="W1152" t="s">
        <v>46</v>
      </c>
      <c r="X1152" t="s">
        <v>46</v>
      </c>
      <c r="Y1152" t="s">
        <v>46</v>
      </c>
      <c r="Z1152" t="s">
        <v>46</v>
      </c>
      <c r="AA1152" t="s">
        <v>46</v>
      </c>
      <c r="AB1152" s="2" t="s">
        <v>4368</v>
      </c>
      <c r="AC1152" t="s">
        <v>43</v>
      </c>
      <c r="AD1152" t="s">
        <v>43</v>
      </c>
      <c r="AE1152" t="s">
        <v>43</v>
      </c>
      <c r="AF1152" t="s">
        <v>43</v>
      </c>
      <c r="AG1152" t="s">
        <v>43</v>
      </c>
      <c r="AH1152" s="2" t="s">
        <v>43</v>
      </c>
    </row>
    <row r="1153" spans="1:34" ht="120">
      <c r="A1153" s="6" t="s">
        <v>82</v>
      </c>
      <c r="B1153" s="7">
        <v>46037</v>
      </c>
      <c r="C1153" s="9" t="str">
        <f>HYPERLINK("https://eping.wto.org/en/Search?viewData= G/SPS/N/JPN/1349/Add.1"," G/SPS/N/JPN/1349/Add.1")</f>
        <v xml:space="preserve"> G/SPS/N/JPN/1349/Add.1</v>
      </c>
      <c r="D1153" s="8" t="s">
        <v>4456</v>
      </c>
      <c r="E1153" s="8" t="s">
        <v>4457</v>
      </c>
      <c r="F1153" s="8" t="s">
        <v>4458</v>
      </c>
      <c r="G1153" s="8" t="s">
        <v>4459</v>
      </c>
      <c r="H1153" s="8" t="s">
        <v>43</v>
      </c>
      <c r="I1153" s="8" t="s">
        <v>58</v>
      </c>
      <c r="J1153" s="8" t="s">
        <v>43</v>
      </c>
      <c r="K1153" s="8" t="s">
        <v>3489</v>
      </c>
      <c r="L1153" s="6"/>
      <c r="M1153" s="7" t="s">
        <v>43</v>
      </c>
      <c r="N1153" s="7"/>
      <c r="O1153" s="7"/>
      <c r="P1153" s="6" t="s">
        <v>44</v>
      </c>
      <c r="Q1153" s="6"/>
      <c r="R1153" t="str">
        <f>HYPERLINK("https://docs.wto.org/imrd/directdoc.asp?DDFDocuments/t/G/SPS/NJPN1349A1.docx", "https://docs.wto.org/imrd/directdoc.asp?DDFDocuments/t/G/SPS/NJPN1349A1.docx")</f>
        <v>https://docs.wto.org/imrd/directdoc.asp?DDFDocuments/t/G/SPS/NJPN1349A1.docx</v>
      </c>
      <c r="S1153" t="str">
        <f>HYPERLINK("https://docs.wto.org/imrd/directdoc.asp?DDFDocuments/u/G/SPS/NJPN1349A1.docx", "https://docs.wto.org/imrd/directdoc.asp?DDFDocuments/u/G/SPS/NJPN1349A1.docx")</f>
        <v>https://docs.wto.org/imrd/directdoc.asp?DDFDocuments/u/G/SPS/NJPN1349A1.docx</v>
      </c>
      <c r="T1153" t="str">
        <f>HYPERLINK("https://docs.wto.org/imrd/directdoc.asp?DDFDocuments/v/G/SPS/NJPN1349A1.docx", "https://docs.wto.org/imrd/directdoc.asp?DDFDocuments/v/G/SPS/NJPN1349A1.docx")</f>
        <v>https://docs.wto.org/imrd/directdoc.asp?DDFDocuments/v/G/SPS/NJPN1349A1.docx</v>
      </c>
      <c r="U1153" t="s">
        <v>43</v>
      </c>
      <c r="V1153" t="s">
        <v>43</v>
      </c>
      <c r="W1153" t="s">
        <v>43</v>
      </c>
      <c r="X1153" t="s">
        <v>43</v>
      </c>
      <c r="Y1153" t="s">
        <v>43</v>
      </c>
      <c r="Z1153" t="s">
        <v>43</v>
      </c>
      <c r="AA1153" t="s">
        <v>43</v>
      </c>
      <c r="AB1153" s="2" t="s">
        <v>43</v>
      </c>
      <c r="AC1153" t="s">
        <v>43</v>
      </c>
      <c r="AD1153" t="s">
        <v>43</v>
      </c>
      <c r="AE1153" t="s">
        <v>43</v>
      </c>
      <c r="AF1153" t="s">
        <v>43</v>
      </c>
      <c r="AG1153" t="s">
        <v>43</v>
      </c>
      <c r="AH1153" s="2" t="s">
        <v>43</v>
      </c>
    </row>
    <row r="1154" spans="1:34" ht="135">
      <c r="A1154" s="6" t="s">
        <v>124</v>
      </c>
      <c r="B1154" s="7">
        <v>46037</v>
      </c>
      <c r="C1154" s="9" t="str">
        <f>HYPERLINK("https://eping.wto.org/en/Search?viewData= G/TBT/N/KEN/1974"," G/TBT/N/KEN/1974")</f>
        <v xml:space="preserve"> G/TBT/N/KEN/1974</v>
      </c>
      <c r="D1154" s="8" t="s">
        <v>4460</v>
      </c>
      <c r="E1154" s="8" t="s">
        <v>4461</v>
      </c>
      <c r="F1154" s="8" t="s">
        <v>4462</v>
      </c>
      <c r="G1154" s="8" t="s">
        <v>43</v>
      </c>
      <c r="H1154" s="8" t="s">
        <v>4463</v>
      </c>
      <c r="I1154" s="8" t="s">
        <v>129</v>
      </c>
      <c r="J1154" s="8" t="s">
        <v>43</v>
      </c>
      <c r="K1154" s="8" t="s">
        <v>43</v>
      </c>
      <c r="L1154" s="6"/>
      <c r="M1154" s="7">
        <v>46097</v>
      </c>
      <c r="N1154" s="7" t="s">
        <v>79</v>
      </c>
      <c r="O1154" s="7" t="s">
        <v>79</v>
      </c>
      <c r="P1154" s="6" t="s">
        <v>62</v>
      </c>
      <c r="Q1154" s="8" t="s">
        <v>4464</v>
      </c>
      <c r="R1154" t="str">
        <f>HYPERLINK("https://docs.wto.org/imrd/directdoc.asp?DDFDocuments/t/G/TBTN26/KEN1974.docx", "https://docs.wto.org/imrd/directdoc.asp?DDFDocuments/t/G/TBTN26/KEN1974.docx")</f>
        <v>https://docs.wto.org/imrd/directdoc.asp?DDFDocuments/t/G/TBTN26/KEN1974.docx</v>
      </c>
      <c r="S1154" t="str">
        <f>HYPERLINK("https://docs.wto.org/imrd/directdoc.asp?DDFDocuments/u/G/TBTN26/KEN1974.docx", "https://docs.wto.org/imrd/directdoc.asp?DDFDocuments/u/G/TBTN26/KEN1974.docx")</f>
        <v>https://docs.wto.org/imrd/directdoc.asp?DDFDocuments/u/G/TBTN26/KEN1974.docx</v>
      </c>
      <c r="T1154" t="str">
        <f>HYPERLINK("https://docs.wto.org/imrd/directdoc.asp?DDFDocuments/v/G/TBTN26/KEN1974.docx", "https://docs.wto.org/imrd/directdoc.asp?DDFDocuments/v/G/TBTN26/KEN1974.docx")</f>
        <v>https://docs.wto.org/imrd/directdoc.asp?DDFDocuments/v/G/TBTN26/KEN1974.docx</v>
      </c>
      <c r="U1154" t="s">
        <v>46</v>
      </c>
      <c r="V1154" t="s">
        <v>46</v>
      </c>
      <c r="W1154" t="s">
        <v>64</v>
      </c>
      <c r="X1154" t="s">
        <v>46</v>
      </c>
      <c r="Y1154" t="s">
        <v>46</v>
      </c>
      <c r="Z1154" t="s">
        <v>46</v>
      </c>
      <c r="AA1154" t="s">
        <v>46</v>
      </c>
      <c r="AB1154" s="2" t="s">
        <v>4465</v>
      </c>
      <c r="AC1154" t="s">
        <v>43</v>
      </c>
      <c r="AD1154" t="s">
        <v>43</v>
      </c>
      <c r="AE1154" t="s">
        <v>43</v>
      </c>
      <c r="AF1154" t="s">
        <v>43</v>
      </c>
      <c r="AG1154" t="s">
        <v>43</v>
      </c>
      <c r="AH1154" s="2" t="s">
        <v>43</v>
      </c>
    </row>
    <row r="1155" spans="1:34" ht="330">
      <c r="A1155" s="6" t="s">
        <v>132</v>
      </c>
      <c r="B1155" s="7">
        <v>46037</v>
      </c>
      <c r="C1155" s="9" t="str">
        <f>HYPERLINK("https://eping.wto.org/en/Search?viewData= G/TBT/N/USA/1387/Add.2"," G/TBT/N/USA/1387/Add.2")</f>
        <v xml:space="preserve"> G/TBT/N/USA/1387/Add.2</v>
      </c>
      <c r="D1155" s="8" t="s">
        <v>4466</v>
      </c>
      <c r="E1155" s="8" t="s">
        <v>4467</v>
      </c>
      <c r="F1155" s="8" t="s">
        <v>4468</v>
      </c>
      <c r="G1155" s="8" t="s">
        <v>43</v>
      </c>
      <c r="H1155" s="8" t="s">
        <v>4469</v>
      </c>
      <c r="I1155" s="8" t="s">
        <v>137</v>
      </c>
      <c r="J1155" s="8" t="s">
        <v>43</v>
      </c>
      <c r="K1155" s="8" t="s">
        <v>43</v>
      </c>
      <c r="L1155" s="6"/>
      <c r="M1155" s="7" t="s">
        <v>43</v>
      </c>
      <c r="N1155" s="7"/>
      <c r="O1155" s="7"/>
      <c r="P1155" s="6" t="s">
        <v>44</v>
      </c>
      <c r="Q1155" s="8" t="s">
        <v>4470</v>
      </c>
      <c r="R1155" t="str">
        <f>HYPERLINK("https://docs.wto.org/imrd/directdoc.asp?DDFDocuments/t/G/TBTN18/USA1387A2.docx", "https://docs.wto.org/imrd/directdoc.asp?DDFDocuments/t/G/TBTN18/USA1387A2.docx")</f>
        <v>https://docs.wto.org/imrd/directdoc.asp?DDFDocuments/t/G/TBTN18/USA1387A2.docx</v>
      </c>
      <c r="S1155" t="str">
        <f>HYPERLINK("https://docs.wto.org/imrd/directdoc.asp?DDFDocuments/u/G/TBTN18/USA1387A2.docx", "https://docs.wto.org/imrd/directdoc.asp?DDFDocuments/u/G/TBTN18/USA1387A2.docx")</f>
        <v>https://docs.wto.org/imrd/directdoc.asp?DDFDocuments/u/G/TBTN18/USA1387A2.docx</v>
      </c>
      <c r="T1155" t="str">
        <f>HYPERLINK("https://docs.wto.org/imrd/directdoc.asp?DDFDocuments/v/G/TBTN18/USA1387A2.docx", "https://docs.wto.org/imrd/directdoc.asp?DDFDocuments/v/G/TBTN18/USA1387A2.docx")</f>
        <v>https://docs.wto.org/imrd/directdoc.asp?DDFDocuments/v/G/TBTN18/USA1387A2.docx</v>
      </c>
      <c r="U1155" t="s">
        <v>64</v>
      </c>
      <c r="V1155" t="s">
        <v>46</v>
      </c>
      <c r="W1155" t="s">
        <v>46</v>
      </c>
      <c r="X1155" t="s">
        <v>46</v>
      </c>
      <c r="Y1155" t="s">
        <v>46</v>
      </c>
      <c r="Z1155" t="s">
        <v>46</v>
      </c>
      <c r="AA1155" t="s">
        <v>46</v>
      </c>
      <c r="AB1155" s="2" t="s">
        <v>43</v>
      </c>
      <c r="AC1155" t="s">
        <v>43</v>
      </c>
      <c r="AD1155" t="s">
        <v>43</v>
      </c>
      <c r="AE1155" t="s">
        <v>43</v>
      </c>
      <c r="AF1155" t="s">
        <v>43</v>
      </c>
      <c r="AG1155" t="s">
        <v>43</v>
      </c>
      <c r="AH1155" s="2" t="s">
        <v>43</v>
      </c>
    </row>
    <row r="1156" spans="1:34" ht="409.5">
      <c r="A1156" s="6" t="s">
        <v>132</v>
      </c>
      <c r="B1156" s="7">
        <v>46037</v>
      </c>
      <c r="C1156" s="9" t="str">
        <f>HYPERLINK("https://eping.wto.org/en/Search?viewData= G/TBT/N/USA/2253/Add.2"," G/TBT/N/USA/2253/Add.2")</f>
        <v xml:space="preserve"> G/TBT/N/USA/2253/Add.2</v>
      </c>
      <c r="D1156" s="8" t="s">
        <v>4471</v>
      </c>
      <c r="E1156" s="8" t="s">
        <v>4472</v>
      </c>
      <c r="F1156" s="8" t="s">
        <v>4473</v>
      </c>
      <c r="G1156" s="8" t="s">
        <v>43</v>
      </c>
      <c r="H1156" s="8" t="s">
        <v>4474</v>
      </c>
      <c r="I1156" s="8" t="s">
        <v>1826</v>
      </c>
      <c r="J1156" s="8" t="s">
        <v>43</v>
      </c>
      <c r="K1156" s="8" t="s">
        <v>43</v>
      </c>
      <c r="L1156" s="6"/>
      <c r="M1156" s="7">
        <v>46057</v>
      </c>
      <c r="N1156" s="7"/>
      <c r="O1156" s="7"/>
      <c r="P1156" s="6" t="s">
        <v>44</v>
      </c>
      <c r="Q1156" s="6"/>
      <c r="R1156" t="str">
        <f>HYPERLINK("https://docs.wto.org/imrd/directdoc.asp?DDFDocuments/t/G/TBTN25/USA2253A2.docx", "https://docs.wto.org/imrd/directdoc.asp?DDFDocuments/t/G/TBTN25/USA2253A2.docx")</f>
        <v>https://docs.wto.org/imrd/directdoc.asp?DDFDocuments/t/G/TBTN25/USA2253A2.docx</v>
      </c>
      <c r="S1156" t="str">
        <f>HYPERLINK("https://docs.wto.org/imrd/directdoc.asp?DDFDocuments/u/G/TBTN25/USA2253A2.docx", "https://docs.wto.org/imrd/directdoc.asp?DDFDocuments/u/G/TBTN25/USA2253A2.docx")</f>
        <v>https://docs.wto.org/imrd/directdoc.asp?DDFDocuments/u/G/TBTN25/USA2253A2.docx</v>
      </c>
      <c r="T1156" t="str">
        <f>HYPERLINK("https://docs.wto.org/imrd/directdoc.asp?DDFDocuments/v/G/TBTN25/USA2253A2.docx", "https://docs.wto.org/imrd/directdoc.asp?DDFDocuments/v/G/TBTN25/USA2253A2.docx")</f>
        <v>https://docs.wto.org/imrd/directdoc.asp?DDFDocuments/v/G/TBTN25/USA2253A2.docx</v>
      </c>
      <c r="U1156" t="s">
        <v>46</v>
      </c>
      <c r="V1156" t="s">
        <v>46</v>
      </c>
      <c r="W1156" t="s">
        <v>46</v>
      </c>
      <c r="X1156" t="s">
        <v>46</v>
      </c>
      <c r="Y1156" t="s">
        <v>46</v>
      </c>
      <c r="Z1156" t="s">
        <v>46</v>
      </c>
      <c r="AA1156" t="s">
        <v>46</v>
      </c>
      <c r="AB1156" s="2" t="s">
        <v>43</v>
      </c>
      <c r="AC1156" t="s">
        <v>43</v>
      </c>
      <c r="AD1156" t="s">
        <v>43</v>
      </c>
      <c r="AE1156" t="s">
        <v>43</v>
      </c>
      <c r="AF1156" t="s">
        <v>43</v>
      </c>
      <c r="AG1156" t="s">
        <v>43</v>
      </c>
      <c r="AH1156" s="2" t="s">
        <v>43</v>
      </c>
    </row>
    <row r="1157" spans="1:34" ht="60">
      <c r="A1157" s="6" t="s">
        <v>338</v>
      </c>
      <c r="B1157" s="7">
        <v>46037</v>
      </c>
      <c r="C1157" s="9" t="str">
        <f>HYPERLINK("https://eping.wto.org/en/Search?viewData= G/TBT/N/SAU/1228/Add.1"," G/TBT/N/SAU/1228/Add.1")</f>
        <v xml:space="preserve"> G/TBT/N/SAU/1228/Add.1</v>
      </c>
      <c r="D1157" s="8" t="s">
        <v>4475</v>
      </c>
      <c r="E1157" s="8" t="s">
        <v>1554</v>
      </c>
      <c r="F1157" s="8" t="s">
        <v>4476</v>
      </c>
      <c r="G1157" s="8" t="s">
        <v>4477</v>
      </c>
      <c r="H1157" s="8" t="s">
        <v>819</v>
      </c>
      <c r="I1157" s="8" t="s">
        <v>1564</v>
      </c>
      <c r="J1157" s="8" t="s">
        <v>43</v>
      </c>
      <c r="K1157" s="8" t="s">
        <v>43</v>
      </c>
      <c r="L1157" s="6"/>
      <c r="M1157" s="7" t="s">
        <v>43</v>
      </c>
      <c r="N1157" s="7"/>
      <c r="O1157" s="7"/>
      <c r="P1157" s="6" t="s">
        <v>44</v>
      </c>
      <c r="Q1157" s="8" t="s">
        <v>4478</v>
      </c>
      <c r="R1157" t="str">
        <f>HYPERLINK("https://docs.wto.org/imrd/directdoc.asp?DDFDocuments/t/G/TBTN22/SAU1228A1.docx", "https://docs.wto.org/imrd/directdoc.asp?DDFDocuments/t/G/TBTN22/SAU1228A1.docx")</f>
        <v>https://docs.wto.org/imrd/directdoc.asp?DDFDocuments/t/G/TBTN22/SAU1228A1.docx</v>
      </c>
      <c r="S1157" t="str">
        <f>HYPERLINK("https://docs.wto.org/imrd/directdoc.asp?DDFDocuments/u/G/TBTN22/SAU1228A1.docx", "https://docs.wto.org/imrd/directdoc.asp?DDFDocuments/u/G/TBTN22/SAU1228A1.docx")</f>
        <v>https://docs.wto.org/imrd/directdoc.asp?DDFDocuments/u/G/TBTN22/SAU1228A1.docx</v>
      </c>
      <c r="T1157" t="str">
        <f>HYPERLINK("https://docs.wto.org/imrd/directdoc.asp?DDFDocuments/v/G/TBTN22/SAU1228A1.docx", "https://docs.wto.org/imrd/directdoc.asp?DDFDocuments/v/G/TBTN22/SAU1228A1.docx")</f>
        <v>https://docs.wto.org/imrd/directdoc.asp?DDFDocuments/v/G/TBTN22/SAU1228A1.docx</v>
      </c>
      <c r="U1157" t="s">
        <v>64</v>
      </c>
      <c r="V1157" t="s">
        <v>46</v>
      </c>
      <c r="W1157" t="s">
        <v>46</v>
      </c>
      <c r="X1157" t="s">
        <v>46</v>
      </c>
      <c r="Y1157" t="s">
        <v>46</v>
      </c>
      <c r="Z1157" t="s">
        <v>46</v>
      </c>
      <c r="AA1157" t="s">
        <v>46</v>
      </c>
      <c r="AB1157" s="2" t="s">
        <v>43</v>
      </c>
      <c r="AC1157" t="s">
        <v>43</v>
      </c>
      <c r="AD1157" t="s">
        <v>43</v>
      </c>
      <c r="AE1157" t="s">
        <v>43</v>
      </c>
      <c r="AF1157" t="s">
        <v>43</v>
      </c>
      <c r="AG1157" t="s">
        <v>43</v>
      </c>
      <c r="AH1157" s="2" t="s">
        <v>43</v>
      </c>
    </row>
    <row r="1158" spans="1:34" ht="165">
      <c r="A1158" s="6" t="s">
        <v>132</v>
      </c>
      <c r="B1158" s="7">
        <v>46037</v>
      </c>
      <c r="C1158" s="9" t="str">
        <f>HYPERLINK("https://eping.wto.org/en/Search?viewData= G/TBT/N/USA/2160/Add.2"," G/TBT/N/USA/2160/Add.2")</f>
        <v xml:space="preserve"> G/TBT/N/USA/2160/Add.2</v>
      </c>
      <c r="D1158" s="8" t="s">
        <v>4479</v>
      </c>
      <c r="E1158" s="8" t="s">
        <v>4480</v>
      </c>
      <c r="F1158" s="8" t="s">
        <v>4481</v>
      </c>
      <c r="G1158" s="8" t="s">
        <v>43</v>
      </c>
      <c r="H1158" s="8" t="s">
        <v>4482</v>
      </c>
      <c r="I1158" s="8" t="s">
        <v>1897</v>
      </c>
      <c r="J1158" s="8" t="s">
        <v>43</v>
      </c>
      <c r="K1158" s="8" t="s">
        <v>860</v>
      </c>
      <c r="L1158" s="6"/>
      <c r="M1158" s="7" t="s">
        <v>43</v>
      </c>
      <c r="N1158" s="7"/>
      <c r="O1158" s="7"/>
      <c r="P1158" s="6" t="s">
        <v>44</v>
      </c>
      <c r="Q1158" s="8" t="s">
        <v>4483</v>
      </c>
      <c r="R1158" t="str">
        <f>HYPERLINK("https://docs.wto.org/imrd/directdoc.asp?DDFDocuments/t/G/TBTN24/USA2160A2.docx", "https://docs.wto.org/imrd/directdoc.asp?DDFDocuments/t/G/TBTN24/USA2160A2.docx")</f>
        <v>https://docs.wto.org/imrd/directdoc.asp?DDFDocuments/t/G/TBTN24/USA2160A2.docx</v>
      </c>
      <c r="S1158" t="str">
        <f>HYPERLINK("https://docs.wto.org/imrd/directdoc.asp?DDFDocuments/u/G/TBTN24/USA2160A2.docx", "https://docs.wto.org/imrd/directdoc.asp?DDFDocuments/u/G/TBTN24/USA2160A2.docx")</f>
        <v>https://docs.wto.org/imrd/directdoc.asp?DDFDocuments/u/G/TBTN24/USA2160A2.docx</v>
      </c>
      <c r="T1158" t="str">
        <f>HYPERLINK("https://docs.wto.org/imrd/directdoc.asp?DDFDocuments/v/G/TBTN24/USA2160A2.docx", "https://docs.wto.org/imrd/directdoc.asp?DDFDocuments/v/G/TBTN24/USA2160A2.docx")</f>
        <v>https://docs.wto.org/imrd/directdoc.asp?DDFDocuments/v/G/TBTN24/USA2160A2.docx</v>
      </c>
      <c r="U1158" t="s">
        <v>46</v>
      </c>
      <c r="V1158" t="s">
        <v>46</v>
      </c>
      <c r="W1158" t="s">
        <v>46</v>
      </c>
      <c r="X1158" t="s">
        <v>46</v>
      </c>
      <c r="Y1158" t="s">
        <v>64</v>
      </c>
      <c r="Z1158" t="s">
        <v>46</v>
      </c>
      <c r="AA1158" t="s">
        <v>46</v>
      </c>
      <c r="AB1158" s="2" t="s">
        <v>43</v>
      </c>
      <c r="AC1158" t="s">
        <v>43</v>
      </c>
      <c r="AD1158" t="s">
        <v>43</v>
      </c>
      <c r="AE1158" t="s">
        <v>43</v>
      </c>
      <c r="AF1158" t="s">
        <v>43</v>
      </c>
      <c r="AG1158" t="s">
        <v>43</v>
      </c>
      <c r="AH1158" s="2" t="s">
        <v>43</v>
      </c>
    </row>
    <row r="1159" spans="1:34" ht="60">
      <c r="A1159" s="6" t="s">
        <v>124</v>
      </c>
      <c r="B1159" s="7">
        <v>46037</v>
      </c>
      <c r="C1159" s="9" t="str">
        <f>HYPERLINK("https://eping.wto.org/en/Search?viewData= G/TBT/N/KEN/1972"," G/TBT/N/KEN/1972")</f>
        <v xml:space="preserve"> G/TBT/N/KEN/1972</v>
      </c>
      <c r="D1159" s="8" t="s">
        <v>4484</v>
      </c>
      <c r="E1159" s="8" t="s">
        <v>4485</v>
      </c>
      <c r="F1159" s="8" t="s">
        <v>4486</v>
      </c>
      <c r="G1159" s="8" t="s">
        <v>43</v>
      </c>
      <c r="H1159" s="8" t="s">
        <v>4487</v>
      </c>
      <c r="I1159" s="8" t="s">
        <v>129</v>
      </c>
      <c r="J1159" s="8" t="s">
        <v>43</v>
      </c>
      <c r="K1159" s="8" t="s">
        <v>43</v>
      </c>
      <c r="L1159" s="6"/>
      <c r="M1159" s="7">
        <v>46097</v>
      </c>
      <c r="N1159" s="7" t="s">
        <v>79</v>
      </c>
      <c r="O1159" s="7" t="s">
        <v>79</v>
      </c>
      <c r="P1159" s="6" t="s">
        <v>62</v>
      </c>
      <c r="Q1159" s="8" t="s">
        <v>4488</v>
      </c>
      <c r="R1159" t="str">
        <f>HYPERLINK("https://docs.wto.org/imrd/directdoc.asp?DDFDocuments/t/G/TBTN26/KEN1972.docx", "https://docs.wto.org/imrd/directdoc.asp?DDFDocuments/t/G/TBTN26/KEN1972.docx")</f>
        <v>https://docs.wto.org/imrd/directdoc.asp?DDFDocuments/t/G/TBTN26/KEN1972.docx</v>
      </c>
      <c r="S1159" t="str">
        <f>HYPERLINK("https://docs.wto.org/imrd/directdoc.asp?DDFDocuments/u/G/TBTN26/KEN1972.docx", "https://docs.wto.org/imrd/directdoc.asp?DDFDocuments/u/G/TBTN26/KEN1972.docx")</f>
        <v>https://docs.wto.org/imrd/directdoc.asp?DDFDocuments/u/G/TBTN26/KEN1972.docx</v>
      </c>
      <c r="T1159" t="str">
        <f>HYPERLINK("https://docs.wto.org/imrd/directdoc.asp?DDFDocuments/v/G/TBTN26/KEN1972.docx", "https://docs.wto.org/imrd/directdoc.asp?DDFDocuments/v/G/TBTN26/KEN1972.docx")</f>
        <v>https://docs.wto.org/imrd/directdoc.asp?DDFDocuments/v/G/TBTN26/KEN1972.docx</v>
      </c>
      <c r="U1159" t="s">
        <v>46</v>
      </c>
      <c r="V1159" t="s">
        <v>46</v>
      </c>
      <c r="W1159" t="s">
        <v>64</v>
      </c>
      <c r="X1159" t="s">
        <v>46</v>
      </c>
      <c r="Y1159" t="s">
        <v>46</v>
      </c>
      <c r="Z1159" t="s">
        <v>46</v>
      </c>
      <c r="AA1159" t="s">
        <v>46</v>
      </c>
      <c r="AB1159" s="2" t="s">
        <v>4489</v>
      </c>
      <c r="AC1159" t="s">
        <v>43</v>
      </c>
      <c r="AD1159" t="s">
        <v>43</v>
      </c>
      <c r="AE1159" t="s">
        <v>43</v>
      </c>
      <c r="AF1159" t="s">
        <v>43</v>
      </c>
      <c r="AG1159" t="s">
        <v>43</v>
      </c>
      <c r="AH1159" s="2" t="s">
        <v>43</v>
      </c>
    </row>
    <row r="1160" spans="1:34" ht="45">
      <c r="A1160" s="6" t="s">
        <v>100</v>
      </c>
      <c r="B1160" s="7">
        <v>46037</v>
      </c>
      <c r="C1160" s="9" t="str">
        <f>HYPERLINK("https://eping.wto.org/en/Search?viewData= G/TBT/N/THA/604/Add.1"," G/TBT/N/THA/604/Add.1")</f>
        <v xml:space="preserve"> G/TBT/N/THA/604/Add.1</v>
      </c>
      <c r="D1160" s="8" t="s">
        <v>4490</v>
      </c>
      <c r="E1160" s="8" t="s">
        <v>4491</v>
      </c>
      <c r="F1160" s="8" t="s">
        <v>4492</v>
      </c>
      <c r="G1160" s="8" t="s">
        <v>43</v>
      </c>
      <c r="H1160" s="8" t="s">
        <v>4493</v>
      </c>
      <c r="I1160" s="8" t="s">
        <v>413</v>
      </c>
      <c r="J1160" s="8" t="s">
        <v>43</v>
      </c>
      <c r="K1160" s="8" t="s">
        <v>43</v>
      </c>
      <c r="L1160" s="6"/>
      <c r="M1160" s="7" t="s">
        <v>43</v>
      </c>
      <c r="N1160" s="7"/>
      <c r="O1160" s="7"/>
      <c r="P1160" s="6" t="s">
        <v>44</v>
      </c>
      <c r="Q1160" s="8" t="s">
        <v>4494</v>
      </c>
      <c r="R1160" t="str">
        <f>HYPERLINK("https://docs.wto.org/imrd/directdoc.asp?DDFDocuments/t/G/TBTN21/THA604A1.docx", "https://docs.wto.org/imrd/directdoc.asp?DDFDocuments/t/G/TBTN21/THA604A1.docx")</f>
        <v>https://docs.wto.org/imrd/directdoc.asp?DDFDocuments/t/G/TBTN21/THA604A1.docx</v>
      </c>
      <c r="S1160" t="str">
        <f>HYPERLINK("https://docs.wto.org/imrd/directdoc.asp?DDFDocuments/u/G/TBTN21/THA604A1.docx", "https://docs.wto.org/imrd/directdoc.asp?DDFDocuments/u/G/TBTN21/THA604A1.docx")</f>
        <v>https://docs.wto.org/imrd/directdoc.asp?DDFDocuments/u/G/TBTN21/THA604A1.docx</v>
      </c>
      <c r="T1160" t="str">
        <f>HYPERLINK("https://docs.wto.org/imrd/directdoc.asp?DDFDocuments/v/G/TBTN21/THA604A1.docx", "https://docs.wto.org/imrd/directdoc.asp?DDFDocuments/v/G/TBTN21/THA604A1.docx")</f>
        <v>https://docs.wto.org/imrd/directdoc.asp?DDFDocuments/v/G/TBTN21/THA604A1.docx</v>
      </c>
      <c r="U1160" t="s">
        <v>64</v>
      </c>
      <c r="V1160" t="s">
        <v>46</v>
      </c>
      <c r="W1160" t="s">
        <v>46</v>
      </c>
      <c r="X1160" t="s">
        <v>46</v>
      </c>
      <c r="Y1160" t="s">
        <v>46</v>
      </c>
      <c r="Z1160" t="s">
        <v>46</v>
      </c>
      <c r="AA1160" t="s">
        <v>46</v>
      </c>
      <c r="AB1160" s="2" t="s">
        <v>43</v>
      </c>
      <c r="AC1160" t="s">
        <v>43</v>
      </c>
      <c r="AD1160" t="s">
        <v>43</v>
      </c>
      <c r="AE1160" t="s">
        <v>43</v>
      </c>
      <c r="AF1160" t="s">
        <v>43</v>
      </c>
      <c r="AG1160" t="s">
        <v>43</v>
      </c>
      <c r="AH1160" s="2" t="s">
        <v>43</v>
      </c>
    </row>
    <row r="1161" spans="1:34" ht="75">
      <c r="A1161" s="6" t="s">
        <v>146</v>
      </c>
      <c r="B1161" s="7">
        <v>46037</v>
      </c>
      <c r="C1161" s="9" t="str">
        <f>HYPERLINK("https://eping.wto.org/en/Search?viewData= G/SPS/N/CHL/873"," G/SPS/N/CHL/873")</f>
        <v xml:space="preserve"> G/SPS/N/CHL/873</v>
      </c>
      <c r="D1161" s="8" t="s">
        <v>4495</v>
      </c>
      <c r="E1161" s="8" t="s">
        <v>4496</v>
      </c>
      <c r="F1161" s="8" t="s">
        <v>4497</v>
      </c>
      <c r="G1161" s="8" t="s">
        <v>43</v>
      </c>
      <c r="H1161" s="8" t="s">
        <v>43</v>
      </c>
      <c r="I1161" s="8" t="s">
        <v>254</v>
      </c>
      <c r="J1161" s="8" t="s">
        <v>43</v>
      </c>
      <c r="K1161" s="8" t="s">
        <v>302</v>
      </c>
      <c r="L1161" s="6" t="s">
        <v>54</v>
      </c>
      <c r="M1161" s="7">
        <v>46097</v>
      </c>
      <c r="N1161" s="7" t="s">
        <v>3219</v>
      </c>
      <c r="O1161" s="7" t="s">
        <v>3219</v>
      </c>
      <c r="P1161" s="6" t="s">
        <v>62</v>
      </c>
      <c r="Q1161" s="8" t="s">
        <v>4498</v>
      </c>
      <c r="R1161" t="str">
        <f>HYPERLINK("https://docs.wto.org/imrd/directdoc.asp?DDFDocuments/t/G/SPS/NCHL873.docx", "https://docs.wto.org/imrd/directdoc.asp?DDFDocuments/t/G/SPS/NCHL873.docx")</f>
        <v>https://docs.wto.org/imrd/directdoc.asp?DDFDocuments/t/G/SPS/NCHL873.docx</v>
      </c>
      <c r="S1161" t="str">
        <f>HYPERLINK("https://docs.wto.org/imrd/directdoc.asp?DDFDocuments/u/G/SPS/NCHL873.docx", "https://docs.wto.org/imrd/directdoc.asp?DDFDocuments/u/G/SPS/NCHL873.docx")</f>
        <v>https://docs.wto.org/imrd/directdoc.asp?DDFDocuments/u/G/SPS/NCHL873.docx</v>
      </c>
      <c r="T1161" t="str">
        <f>HYPERLINK("https://docs.wto.org/imrd/directdoc.asp?DDFDocuments/v/G/SPS/NCHL873.docx", "https://docs.wto.org/imrd/directdoc.asp?DDFDocuments/v/G/SPS/NCHL873.docx")</f>
        <v>https://docs.wto.org/imrd/directdoc.asp?DDFDocuments/v/G/SPS/NCHL873.docx</v>
      </c>
      <c r="U1161" t="s">
        <v>43</v>
      </c>
      <c r="V1161" t="s">
        <v>43</v>
      </c>
      <c r="W1161" t="s">
        <v>43</v>
      </c>
      <c r="X1161" t="s">
        <v>43</v>
      </c>
      <c r="Y1161" t="s">
        <v>43</v>
      </c>
      <c r="Z1161" t="s">
        <v>43</v>
      </c>
      <c r="AA1161" t="s">
        <v>43</v>
      </c>
      <c r="AB1161" s="2" t="s">
        <v>43</v>
      </c>
      <c r="AC1161" t="s">
        <v>46</v>
      </c>
      <c r="AD1161" t="s">
        <v>46</v>
      </c>
      <c r="AE1161" t="s">
        <v>64</v>
      </c>
      <c r="AF1161" t="s">
        <v>46</v>
      </c>
      <c r="AG1161" t="s">
        <v>64</v>
      </c>
      <c r="AH1161" s="2" t="s">
        <v>43</v>
      </c>
    </row>
    <row r="1162" spans="1:34" ht="409.5">
      <c r="A1162" s="6" t="s">
        <v>124</v>
      </c>
      <c r="B1162" s="7">
        <v>46037</v>
      </c>
      <c r="C1162" s="9" t="str">
        <f>HYPERLINK("https://eping.wto.org/en/Search?viewData= G/TBT/N/KEN/1973"," G/TBT/N/KEN/1973")</f>
        <v xml:space="preserve"> G/TBT/N/KEN/1973</v>
      </c>
      <c r="D1162" s="8" t="s">
        <v>4499</v>
      </c>
      <c r="E1162" s="8" t="s">
        <v>4500</v>
      </c>
      <c r="F1162" s="8" t="s">
        <v>4486</v>
      </c>
      <c r="G1162" s="8" t="s">
        <v>43</v>
      </c>
      <c r="H1162" s="8" t="s">
        <v>4487</v>
      </c>
      <c r="I1162" s="8" t="s">
        <v>129</v>
      </c>
      <c r="J1162" s="8" t="s">
        <v>43</v>
      </c>
      <c r="K1162" s="8" t="s">
        <v>43</v>
      </c>
      <c r="L1162" s="6"/>
      <c r="M1162" s="7">
        <v>46097</v>
      </c>
      <c r="N1162" s="7" t="s">
        <v>79</v>
      </c>
      <c r="O1162" s="7" t="s">
        <v>79</v>
      </c>
      <c r="P1162" s="6" t="s">
        <v>62</v>
      </c>
      <c r="Q1162" s="8" t="s">
        <v>4501</v>
      </c>
      <c r="R1162" t="str">
        <f>HYPERLINK("https://docs.wto.org/imrd/directdoc.asp?DDFDocuments/t/G/TBTN26/KEN1973.docx", "https://docs.wto.org/imrd/directdoc.asp?DDFDocuments/t/G/TBTN26/KEN1973.docx")</f>
        <v>https://docs.wto.org/imrd/directdoc.asp?DDFDocuments/t/G/TBTN26/KEN1973.docx</v>
      </c>
      <c r="S1162" t="str">
        <f>HYPERLINK("https://docs.wto.org/imrd/directdoc.asp?DDFDocuments/u/G/TBTN26/KEN1973.docx", "https://docs.wto.org/imrd/directdoc.asp?DDFDocuments/u/G/TBTN26/KEN1973.docx")</f>
        <v>https://docs.wto.org/imrd/directdoc.asp?DDFDocuments/u/G/TBTN26/KEN1973.docx</v>
      </c>
      <c r="T1162" t="str">
        <f>HYPERLINK("https://docs.wto.org/imrd/directdoc.asp?DDFDocuments/v/G/TBTN26/KEN1973.docx", "https://docs.wto.org/imrd/directdoc.asp?DDFDocuments/v/G/TBTN26/KEN1973.docx")</f>
        <v>https://docs.wto.org/imrd/directdoc.asp?DDFDocuments/v/G/TBTN26/KEN1973.docx</v>
      </c>
      <c r="U1162" t="s">
        <v>46</v>
      </c>
      <c r="V1162" t="s">
        <v>46</v>
      </c>
      <c r="W1162" t="s">
        <v>64</v>
      </c>
      <c r="X1162" t="s">
        <v>46</v>
      </c>
      <c r="Y1162" t="s">
        <v>46</v>
      </c>
      <c r="Z1162" t="s">
        <v>46</v>
      </c>
      <c r="AA1162" t="s">
        <v>46</v>
      </c>
      <c r="AB1162" s="2" t="s">
        <v>4502</v>
      </c>
      <c r="AC1162" t="s">
        <v>43</v>
      </c>
      <c r="AD1162" t="s">
        <v>43</v>
      </c>
      <c r="AE1162" t="s">
        <v>43</v>
      </c>
      <c r="AF1162" t="s">
        <v>43</v>
      </c>
      <c r="AG1162" t="s">
        <v>43</v>
      </c>
      <c r="AH1162" s="2" t="s">
        <v>43</v>
      </c>
    </row>
    <row r="1163" spans="1:34" ht="105">
      <c r="A1163" s="6" t="s">
        <v>132</v>
      </c>
      <c r="B1163" s="7">
        <v>46037</v>
      </c>
      <c r="C1163" s="9" t="str">
        <f>HYPERLINK("https://eping.wto.org/en/Search?viewData= G/TBT/N/USA/2257"," G/TBT/N/USA/2257")</f>
        <v xml:space="preserve"> G/TBT/N/USA/2257</v>
      </c>
      <c r="D1163" s="8" t="s">
        <v>4503</v>
      </c>
      <c r="E1163" s="8" t="s">
        <v>4504</v>
      </c>
      <c r="F1163" s="8" t="s">
        <v>4505</v>
      </c>
      <c r="G1163" s="8" t="s">
        <v>43</v>
      </c>
      <c r="H1163" s="8" t="s">
        <v>1639</v>
      </c>
      <c r="I1163" s="8" t="s">
        <v>322</v>
      </c>
      <c r="J1163" s="8" t="s">
        <v>43</v>
      </c>
      <c r="K1163" s="8" t="s">
        <v>43</v>
      </c>
      <c r="L1163" s="6"/>
      <c r="M1163" s="7">
        <v>46073</v>
      </c>
      <c r="N1163" s="7" t="s">
        <v>79</v>
      </c>
      <c r="O1163" s="7" t="s">
        <v>79</v>
      </c>
      <c r="P1163" s="6" t="s">
        <v>62</v>
      </c>
      <c r="Q1163" s="8" t="s">
        <v>4506</v>
      </c>
      <c r="R1163" t="str">
        <f>HYPERLINK("https://docs.wto.org/imrd/directdoc.asp?DDFDocuments/t/G/TBTN26/USA2257.docx", "https://docs.wto.org/imrd/directdoc.asp?DDFDocuments/t/G/TBTN26/USA2257.docx")</f>
        <v>https://docs.wto.org/imrd/directdoc.asp?DDFDocuments/t/G/TBTN26/USA2257.docx</v>
      </c>
      <c r="S1163" t="str">
        <f>HYPERLINK("https://docs.wto.org/imrd/directdoc.asp?DDFDocuments/u/G/TBTN26/USA2257.docx", "https://docs.wto.org/imrd/directdoc.asp?DDFDocuments/u/G/TBTN26/USA2257.docx")</f>
        <v>https://docs.wto.org/imrd/directdoc.asp?DDFDocuments/u/G/TBTN26/USA2257.docx</v>
      </c>
      <c r="T1163" t="str">
        <f>HYPERLINK("https://docs.wto.org/imrd/directdoc.asp?DDFDocuments/v/G/TBTN26/USA2257.docx", "https://docs.wto.org/imrd/directdoc.asp?DDFDocuments/v/G/TBTN26/USA2257.docx")</f>
        <v>https://docs.wto.org/imrd/directdoc.asp?DDFDocuments/v/G/TBTN26/USA2257.docx</v>
      </c>
      <c r="U1163" t="s">
        <v>64</v>
      </c>
      <c r="V1163" t="s">
        <v>46</v>
      </c>
      <c r="W1163" t="s">
        <v>46</v>
      </c>
      <c r="X1163" t="s">
        <v>46</v>
      </c>
      <c r="Y1163" t="s">
        <v>46</v>
      </c>
      <c r="Z1163" t="s">
        <v>46</v>
      </c>
      <c r="AA1163" t="s">
        <v>46</v>
      </c>
      <c r="AB1163" s="2" t="s">
        <v>4507</v>
      </c>
      <c r="AC1163" t="s">
        <v>43</v>
      </c>
      <c r="AD1163" t="s">
        <v>43</v>
      </c>
      <c r="AE1163" t="s">
        <v>43</v>
      </c>
      <c r="AF1163" t="s">
        <v>43</v>
      </c>
      <c r="AG1163" t="s">
        <v>43</v>
      </c>
      <c r="AH1163" s="2" t="s">
        <v>43</v>
      </c>
    </row>
    <row r="1164" spans="1:34" ht="60">
      <c r="A1164" s="6" t="s">
        <v>74</v>
      </c>
      <c r="B1164" s="7">
        <v>46037</v>
      </c>
      <c r="C1164" s="9" t="str">
        <f>HYPERLINK("https://eping.wto.org/en/Search?viewData= G/SPS/N/IND/346"," G/SPS/N/IND/346")</f>
        <v xml:space="preserve"> G/SPS/N/IND/346</v>
      </c>
      <c r="D1164" s="8" t="s">
        <v>3697</v>
      </c>
      <c r="E1164" s="8" t="s">
        <v>3645</v>
      </c>
      <c r="F1164" s="8" t="s">
        <v>1720</v>
      </c>
      <c r="G1164" s="8" t="s">
        <v>3699</v>
      </c>
      <c r="H1164" s="8" t="s">
        <v>43</v>
      </c>
      <c r="I1164" s="8" t="s">
        <v>1721</v>
      </c>
      <c r="J1164" s="8" t="s">
        <v>43</v>
      </c>
      <c r="K1164" s="8" t="s">
        <v>4508</v>
      </c>
      <c r="L1164" s="6" t="s">
        <v>43</v>
      </c>
      <c r="M1164" s="7">
        <v>46097</v>
      </c>
      <c r="N1164" s="7">
        <v>46014</v>
      </c>
      <c r="O1164" s="7" t="s">
        <v>114</v>
      </c>
      <c r="P1164" s="6" t="s">
        <v>62</v>
      </c>
      <c r="Q1164" s="8" t="s">
        <v>4509</v>
      </c>
      <c r="R1164" t="str">
        <f>HYPERLINK("https://docs.wto.org/imrd/directdoc.asp?DDFDocuments/t/G/SPS/NIND346.docx", "https://docs.wto.org/imrd/directdoc.asp?DDFDocuments/t/G/SPS/NIND346.docx")</f>
        <v>https://docs.wto.org/imrd/directdoc.asp?DDFDocuments/t/G/SPS/NIND346.docx</v>
      </c>
      <c r="S1164" t="str">
        <f>HYPERLINK("https://docs.wto.org/imrd/directdoc.asp?DDFDocuments/u/G/SPS/NIND346.docx", "https://docs.wto.org/imrd/directdoc.asp?DDFDocuments/u/G/SPS/NIND346.docx")</f>
        <v>https://docs.wto.org/imrd/directdoc.asp?DDFDocuments/u/G/SPS/NIND346.docx</v>
      </c>
      <c r="T1164" t="str">
        <f>HYPERLINK("https://docs.wto.org/imrd/directdoc.asp?DDFDocuments/v/G/SPS/NIND346.docx", "https://docs.wto.org/imrd/directdoc.asp?DDFDocuments/v/G/SPS/NIND346.docx")</f>
        <v>https://docs.wto.org/imrd/directdoc.asp?DDFDocuments/v/G/SPS/NIND346.docx</v>
      </c>
      <c r="U1164" t="s">
        <v>43</v>
      </c>
      <c r="V1164" t="s">
        <v>43</v>
      </c>
      <c r="W1164" t="s">
        <v>43</v>
      </c>
      <c r="X1164" t="s">
        <v>43</v>
      </c>
      <c r="Y1164" t="s">
        <v>43</v>
      </c>
      <c r="Z1164" t="s">
        <v>43</v>
      </c>
      <c r="AA1164" t="s">
        <v>43</v>
      </c>
      <c r="AB1164" s="2" t="s">
        <v>43</v>
      </c>
      <c r="AC1164" t="s">
        <v>46</v>
      </c>
      <c r="AD1164" t="s">
        <v>64</v>
      </c>
      <c r="AE1164" t="s">
        <v>46</v>
      </c>
      <c r="AF1164" t="s">
        <v>46</v>
      </c>
      <c r="AG1164" t="s">
        <v>64</v>
      </c>
      <c r="AH1164" s="2" t="s">
        <v>43</v>
      </c>
    </row>
    <row r="1165" spans="1:34" ht="240">
      <c r="A1165" s="6" t="s">
        <v>132</v>
      </c>
      <c r="B1165" s="7">
        <v>46037</v>
      </c>
      <c r="C1165" s="9" t="str">
        <f>HYPERLINK("https://eping.wto.org/en/Search?viewData= G/TBT/N/USA/2155/Add.2"," G/TBT/N/USA/2155/Add.2")</f>
        <v xml:space="preserve"> G/TBT/N/USA/2155/Add.2</v>
      </c>
      <c r="D1165" s="8" t="s">
        <v>4510</v>
      </c>
      <c r="E1165" s="8" t="s">
        <v>4511</v>
      </c>
      <c r="F1165" s="8" t="s">
        <v>4512</v>
      </c>
      <c r="G1165" s="8" t="s">
        <v>43</v>
      </c>
      <c r="H1165" s="8" t="s">
        <v>4513</v>
      </c>
      <c r="I1165" s="8" t="s">
        <v>137</v>
      </c>
      <c r="J1165" s="8" t="s">
        <v>43</v>
      </c>
      <c r="K1165" s="8" t="s">
        <v>43</v>
      </c>
      <c r="L1165" s="6"/>
      <c r="M1165" s="7" t="s">
        <v>43</v>
      </c>
      <c r="N1165" s="7"/>
      <c r="O1165" s="7"/>
      <c r="P1165" s="6" t="s">
        <v>44</v>
      </c>
      <c r="Q1165" s="8" t="s">
        <v>4514</v>
      </c>
      <c r="R1165" t="str">
        <f>HYPERLINK("https://docs.wto.org/imrd/directdoc.asp?DDFDocuments/t/G/TBTN24/USA2155A2.docx", "https://docs.wto.org/imrd/directdoc.asp?DDFDocuments/t/G/TBTN24/USA2155A2.docx")</f>
        <v>https://docs.wto.org/imrd/directdoc.asp?DDFDocuments/t/G/TBTN24/USA2155A2.docx</v>
      </c>
      <c r="S1165" t="str">
        <f>HYPERLINK("https://docs.wto.org/imrd/directdoc.asp?DDFDocuments/u/G/TBTN24/USA2155A2.docx", "https://docs.wto.org/imrd/directdoc.asp?DDFDocuments/u/G/TBTN24/USA2155A2.docx")</f>
        <v>https://docs.wto.org/imrd/directdoc.asp?DDFDocuments/u/G/TBTN24/USA2155A2.docx</v>
      </c>
      <c r="T1165" t="str">
        <f>HYPERLINK("https://docs.wto.org/imrd/directdoc.asp?DDFDocuments/v/G/TBTN24/USA2155A2.docx", "https://docs.wto.org/imrd/directdoc.asp?DDFDocuments/v/G/TBTN24/USA2155A2.docx")</f>
        <v>https://docs.wto.org/imrd/directdoc.asp?DDFDocuments/v/G/TBTN24/USA2155A2.docx</v>
      </c>
      <c r="U1165" t="s">
        <v>64</v>
      </c>
      <c r="V1165" t="s">
        <v>46</v>
      </c>
      <c r="W1165" t="s">
        <v>46</v>
      </c>
      <c r="X1165" t="s">
        <v>46</v>
      </c>
      <c r="Y1165" t="s">
        <v>46</v>
      </c>
      <c r="Z1165" t="s">
        <v>46</v>
      </c>
      <c r="AA1165" t="s">
        <v>46</v>
      </c>
      <c r="AB1165" s="2" t="s">
        <v>43</v>
      </c>
      <c r="AC1165" t="s">
        <v>43</v>
      </c>
      <c r="AD1165" t="s">
        <v>43</v>
      </c>
      <c r="AE1165" t="s">
        <v>43</v>
      </c>
      <c r="AF1165" t="s">
        <v>43</v>
      </c>
      <c r="AG1165" t="s">
        <v>43</v>
      </c>
      <c r="AH1165" s="2" t="s">
        <v>43</v>
      </c>
    </row>
    <row r="1166" spans="1:34" ht="60">
      <c r="A1166" s="6" t="s">
        <v>146</v>
      </c>
      <c r="B1166" s="7">
        <v>46037</v>
      </c>
      <c r="C1166" s="9" t="str">
        <f>HYPERLINK("https://eping.wto.org/en/Search?viewData= G/SPS/N/CHL/808/Rev.1"," G/SPS/N/CHL/808/Rev.1")</f>
        <v xml:space="preserve"> G/SPS/N/CHL/808/Rev.1</v>
      </c>
      <c r="D1166" s="8" t="s">
        <v>4515</v>
      </c>
      <c r="E1166" s="8" t="s">
        <v>4516</v>
      </c>
      <c r="F1166" s="8" t="s">
        <v>4517</v>
      </c>
      <c r="G1166" s="8" t="s">
        <v>1991</v>
      </c>
      <c r="H1166" s="8" t="s">
        <v>43</v>
      </c>
      <c r="I1166" s="8" t="s">
        <v>254</v>
      </c>
      <c r="J1166" s="8" t="s">
        <v>43</v>
      </c>
      <c r="K1166" s="8" t="s">
        <v>302</v>
      </c>
      <c r="L1166" s="6" t="s">
        <v>43</v>
      </c>
      <c r="M1166" s="7" t="s">
        <v>43</v>
      </c>
      <c r="N1166" s="7" t="s">
        <v>3219</v>
      </c>
      <c r="O1166" s="7" t="s">
        <v>4518</v>
      </c>
      <c r="P1166" s="6" t="s">
        <v>138</v>
      </c>
      <c r="Q1166" s="8" t="s">
        <v>4519</v>
      </c>
      <c r="R1166" t="str">
        <f>HYPERLINK("https://docs.wto.org/imrd/directdoc.asp?DDFDocuments/t/G/SPS/NCHL808R1.docx", "https://docs.wto.org/imrd/directdoc.asp?DDFDocuments/t/G/SPS/NCHL808R1.docx")</f>
        <v>https://docs.wto.org/imrd/directdoc.asp?DDFDocuments/t/G/SPS/NCHL808R1.docx</v>
      </c>
      <c r="S1166" t="str">
        <f>HYPERLINK("https://docs.wto.org/imrd/directdoc.asp?DDFDocuments/u/G/SPS/NCHL808R1.docx", "https://docs.wto.org/imrd/directdoc.asp?DDFDocuments/u/G/SPS/NCHL808R1.docx")</f>
        <v>https://docs.wto.org/imrd/directdoc.asp?DDFDocuments/u/G/SPS/NCHL808R1.docx</v>
      </c>
      <c r="T1166" t="str">
        <f>HYPERLINK("https://docs.wto.org/imrd/directdoc.asp?DDFDocuments/v/G/SPS/NCHL808R1.docx", "https://docs.wto.org/imrd/directdoc.asp?DDFDocuments/v/G/SPS/NCHL808R1.docx")</f>
        <v>https://docs.wto.org/imrd/directdoc.asp?DDFDocuments/v/G/SPS/NCHL808R1.docx</v>
      </c>
      <c r="U1166" t="s">
        <v>43</v>
      </c>
      <c r="V1166" t="s">
        <v>43</v>
      </c>
      <c r="W1166" t="s">
        <v>43</v>
      </c>
      <c r="X1166" t="s">
        <v>43</v>
      </c>
      <c r="Y1166" t="s">
        <v>43</v>
      </c>
      <c r="Z1166" t="s">
        <v>43</v>
      </c>
      <c r="AA1166" t="s">
        <v>43</v>
      </c>
      <c r="AB1166" s="2" t="s">
        <v>43</v>
      </c>
      <c r="AC1166" t="s">
        <v>46</v>
      </c>
      <c r="AD1166" t="s">
        <v>46</v>
      </c>
      <c r="AE1166" t="s">
        <v>64</v>
      </c>
      <c r="AF1166" t="s">
        <v>46</v>
      </c>
      <c r="AG1166" t="s">
        <v>64</v>
      </c>
      <c r="AH1166" s="2" t="s">
        <v>43</v>
      </c>
    </row>
    <row r="1167" spans="1:34" ht="90">
      <c r="A1167" s="6" t="s">
        <v>82</v>
      </c>
      <c r="B1167" s="7">
        <v>46037</v>
      </c>
      <c r="C1167" s="9" t="str">
        <f>HYPERLINK("https://eping.wto.org/en/Search?viewData= G/SPS/N/JPN/1348/Add.1"," G/SPS/N/JPN/1348/Add.1")</f>
        <v xml:space="preserve"> G/SPS/N/JPN/1348/Add.1</v>
      </c>
      <c r="D1167" s="8" t="s">
        <v>4520</v>
      </c>
      <c r="E1167" s="8" t="s">
        <v>4521</v>
      </c>
      <c r="F1167" s="8" t="s">
        <v>4522</v>
      </c>
      <c r="G1167" s="8" t="s">
        <v>4523</v>
      </c>
      <c r="H1167" s="8" t="s">
        <v>43</v>
      </c>
      <c r="I1167" s="8" t="s">
        <v>58</v>
      </c>
      <c r="J1167" s="8" t="s">
        <v>43</v>
      </c>
      <c r="K1167" s="8" t="s">
        <v>4524</v>
      </c>
      <c r="L1167" s="6"/>
      <c r="M1167" s="7" t="s">
        <v>43</v>
      </c>
      <c r="N1167" s="7"/>
      <c r="O1167" s="7"/>
      <c r="P1167" s="6" t="s">
        <v>44</v>
      </c>
      <c r="Q1167" s="6"/>
      <c r="R1167" t="str">
        <f>HYPERLINK("https://docs.wto.org/imrd/directdoc.asp?DDFDocuments/t/G/SPS/NJPN1348A1.docx", "https://docs.wto.org/imrd/directdoc.asp?DDFDocuments/t/G/SPS/NJPN1348A1.docx")</f>
        <v>https://docs.wto.org/imrd/directdoc.asp?DDFDocuments/t/G/SPS/NJPN1348A1.docx</v>
      </c>
      <c r="S1167" t="str">
        <f>HYPERLINK("https://docs.wto.org/imrd/directdoc.asp?DDFDocuments/u/G/SPS/NJPN1348A1.docx", "https://docs.wto.org/imrd/directdoc.asp?DDFDocuments/u/G/SPS/NJPN1348A1.docx")</f>
        <v>https://docs.wto.org/imrd/directdoc.asp?DDFDocuments/u/G/SPS/NJPN1348A1.docx</v>
      </c>
      <c r="T1167" t="str">
        <f>HYPERLINK("https://docs.wto.org/imrd/directdoc.asp?DDFDocuments/v/G/SPS/NJPN1348A1.docx", "https://docs.wto.org/imrd/directdoc.asp?DDFDocuments/v/G/SPS/NJPN1348A1.docx")</f>
        <v>https://docs.wto.org/imrd/directdoc.asp?DDFDocuments/v/G/SPS/NJPN1348A1.docx</v>
      </c>
      <c r="U1167" t="s">
        <v>43</v>
      </c>
      <c r="V1167" t="s">
        <v>43</v>
      </c>
      <c r="W1167" t="s">
        <v>43</v>
      </c>
      <c r="X1167" t="s">
        <v>43</v>
      </c>
      <c r="Y1167" t="s">
        <v>43</v>
      </c>
      <c r="Z1167" t="s">
        <v>43</v>
      </c>
      <c r="AA1167" t="s">
        <v>43</v>
      </c>
      <c r="AB1167" s="2" t="s">
        <v>43</v>
      </c>
      <c r="AC1167" t="s">
        <v>43</v>
      </c>
      <c r="AD1167" t="s">
        <v>43</v>
      </c>
      <c r="AE1167" t="s">
        <v>43</v>
      </c>
      <c r="AF1167" t="s">
        <v>43</v>
      </c>
      <c r="AG1167" t="s">
        <v>43</v>
      </c>
      <c r="AH1167" s="2" t="s">
        <v>43</v>
      </c>
    </row>
    <row r="1168" spans="1:34" ht="195">
      <c r="A1168" s="6" t="s">
        <v>82</v>
      </c>
      <c r="B1168" s="7">
        <v>46037</v>
      </c>
      <c r="C1168" s="9" t="str">
        <f>HYPERLINK("https://eping.wto.org/en/Search?viewData= G/SPS/N/JPN/1350/Add.1"," G/SPS/N/JPN/1350/Add.1")</f>
        <v xml:space="preserve"> G/SPS/N/JPN/1350/Add.1</v>
      </c>
      <c r="D1168" s="8" t="s">
        <v>4525</v>
      </c>
      <c r="E1168" s="8" t="s">
        <v>4526</v>
      </c>
      <c r="F1168" s="8" t="s">
        <v>4527</v>
      </c>
      <c r="G1168" s="8" t="s">
        <v>4528</v>
      </c>
      <c r="H1168" s="8" t="s">
        <v>43</v>
      </c>
      <c r="I1168" s="8" t="s">
        <v>58</v>
      </c>
      <c r="J1168" s="8" t="s">
        <v>43</v>
      </c>
      <c r="K1168" s="8" t="s">
        <v>3427</v>
      </c>
      <c r="L1168" s="6"/>
      <c r="M1168" s="7" t="s">
        <v>43</v>
      </c>
      <c r="N1168" s="7"/>
      <c r="O1168" s="7"/>
      <c r="P1168" s="6" t="s">
        <v>44</v>
      </c>
      <c r="Q1168" s="6"/>
      <c r="R1168" t="str">
        <f>HYPERLINK("https://docs.wto.org/imrd/directdoc.asp?DDFDocuments/t/G/SPS/NJPN1350A1.docx", "https://docs.wto.org/imrd/directdoc.asp?DDFDocuments/t/G/SPS/NJPN1350A1.docx")</f>
        <v>https://docs.wto.org/imrd/directdoc.asp?DDFDocuments/t/G/SPS/NJPN1350A1.docx</v>
      </c>
      <c r="S1168" t="str">
        <f>HYPERLINK("https://docs.wto.org/imrd/directdoc.asp?DDFDocuments/u/G/SPS/NJPN1350A1.docx", "https://docs.wto.org/imrd/directdoc.asp?DDFDocuments/u/G/SPS/NJPN1350A1.docx")</f>
        <v>https://docs.wto.org/imrd/directdoc.asp?DDFDocuments/u/G/SPS/NJPN1350A1.docx</v>
      </c>
      <c r="T1168" t="str">
        <f>HYPERLINK("https://docs.wto.org/imrd/directdoc.asp?DDFDocuments/v/G/SPS/NJPN1350A1.docx", "https://docs.wto.org/imrd/directdoc.asp?DDFDocuments/v/G/SPS/NJPN1350A1.docx")</f>
        <v>https://docs.wto.org/imrd/directdoc.asp?DDFDocuments/v/G/SPS/NJPN1350A1.docx</v>
      </c>
      <c r="U1168" t="s">
        <v>43</v>
      </c>
      <c r="V1168" t="s">
        <v>43</v>
      </c>
      <c r="W1168" t="s">
        <v>43</v>
      </c>
      <c r="X1168" t="s">
        <v>43</v>
      </c>
      <c r="Y1168" t="s">
        <v>43</v>
      </c>
      <c r="Z1168" t="s">
        <v>43</v>
      </c>
      <c r="AA1168" t="s">
        <v>43</v>
      </c>
      <c r="AB1168" s="2" t="s">
        <v>43</v>
      </c>
      <c r="AC1168" t="s">
        <v>43</v>
      </c>
      <c r="AD1168" t="s">
        <v>43</v>
      </c>
      <c r="AE1168" t="s">
        <v>43</v>
      </c>
      <c r="AF1168" t="s">
        <v>43</v>
      </c>
      <c r="AG1168" t="s">
        <v>43</v>
      </c>
      <c r="AH1168" s="2" t="s">
        <v>43</v>
      </c>
    </row>
    <row r="1169" spans="1:34" ht="75">
      <c r="A1169" s="6" t="s">
        <v>82</v>
      </c>
      <c r="B1169" s="7">
        <v>46037</v>
      </c>
      <c r="C1169" s="9" t="str">
        <f>HYPERLINK("https://eping.wto.org/en/Search?viewData= G/SPS/N/JPN/1352/Add.1"," G/SPS/N/JPN/1352/Add.1")</f>
        <v xml:space="preserve"> G/SPS/N/JPN/1352/Add.1</v>
      </c>
      <c r="D1169" s="8" t="s">
        <v>4529</v>
      </c>
      <c r="E1169" s="8" t="s">
        <v>4530</v>
      </c>
      <c r="F1169" s="8" t="s">
        <v>4531</v>
      </c>
      <c r="G1169" s="8" t="s">
        <v>4532</v>
      </c>
      <c r="H1169" s="8" t="s">
        <v>43</v>
      </c>
      <c r="I1169" s="8" t="s">
        <v>58</v>
      </c>
      <c r="J1169" s="8" t="s">
        <v>43</v>
      </c>
      <c r="K1169" s="8" t="s">
        <v>3427</v>
      </c>
      <c r="L1169" s="6"/>
      <c r="M1169" s="7" t="s">
        <v>43</v>
      </c>
      <c r="N1169" s="7"/>
      <c r="O1169" s="7"/>
      <c r="P1169" s="6" t="s">
        <v>44</v>
      </c>
      <c r="Q1169" s="6"/>
      <c r="R1169" t="str">
        <f>HYPERLINK("https://docs.wto.org/imrd/directdoc.asp?DDFDocuments/t/G/SPS/NJPN1352A1.docx", "https://docs.wto.org/imrd/directdoc.asp?DDFDocuments/t/G/SPS/NJPN1352A1.docx")</f>
        <v>https://docs.wto.org/imrd/directdoc.asp?DDFDocuments/t/G/SPS/NJPN1352A1.docx</v>
      </c>
      <c r="S1169" t="str">
        <f>HYPERLINK("https://docs.wto.org/imrd/directdoc.asp?DDFDocuments/u/G/SPS/NJPN1352A1.docx", "https://docs.wto.org/imrd/directdoc.asp?DDFDocuments/u/G/SPS/NJPN1352A1.docx")</f>
        <v>https://docs.wto.org/imrd/directdoc.asp?DDFDocuments/u/G/SPS/NJPN1352A1.docx</v>
      </c>
      <c r="T1169" t="str">
        <f>HYPERLINK("https://docs.wto.org/imrd/directdoc.asp?DDFDocuments/v/G/SPS/NJPN1352A1.docx", "https://docs.wto.org/imrd/directdoc.asp?DDFDocuments/v/G/SPS/NJPN1352A1.docx")</f>
        <v>https://docs.wto.org/imrd/directdoc.asp?DDFDocuments/v/G/SPS/NJPN1352A1.docx</v>
      </c>
      <c r="U1169" t="s">
        <v>43</v>
      </c>
      <c r="V1169" t="s">
        <v>43</v>
      </c>
      <c r="W1169" t="s">
        <v>43</v>
      </c>
      <c r="X1169" t="s">
        <v>43</v>
      </c>
      <c r="Y1169" t="s">
        <v>43</v>
      </c>
      <c r="Z1169" t="s">
        <v>43</v>
      </c>
      <c r="AA1169" t="s">
        <v>43</v>
      </c>
      <c r="AB1169" s="2" t="s">
        <v>43</v>
      </c>
      <c r="AC1169" t="s">
        <v>43</v>
      </c>
      <c r="AD1169" t="s">
        <v>43</v>
      </c>
      <c r="AE1169" t="s">
        <v>43</v>
      </c>
      <c r="AF1169" t="s">
        <v>43</v>
      </c>
      <c r="AG1169" t="s">
        <v>43</v>
      </c>
      <c r="AH1169" s="2" t="s">
        <v>43</v>
      </c>
    </row>
    <row r="1170" spans="1:34" ht="75">
      <c r="A1170" s="6" t="s">
        <v>124</v>
      </c>
      <c r="B1170" s="7">
        <v>46037</v>
      </c>
      <c r="C1170" s="9" t="str">
        <f>HYPERLINK("https://eping.wto.org/en/Search?viewData= G/TBT/N/KEN/1971"," G/TBT/N/KEN/1971")</f>
        <v xml:space="preserve"> G/TBT/N/KEN/1971</v>
      </c>
      <c r="D1170" s="8" t="s">
        <v>4533</v>
      </c>
      <c r="E1170" s="8" t="s">
        <v>4534</v>
      </c>
      <c r="F1170" s="8" t="s">
        <v>4535</v>
      </c>
      <c r="G1170" s="8" t="s">
        <v>43</v>
      </c>
      <c r="H1170" s="8" t="s">
        <v>4536</v>
      </c>
      <c r="I1170" s="8" t="s">
        <v>129</v>
      </c>
      <c r="J1170" s="8" t="s">
        <v>43</v>
      </c>
      <c r="K1170" s="8" t="s">
        <v>43</v>
      </c>
      <c r="L1170" s="6"/>
      <c r="M1170" s="7">
        <v>46097</v>
      </c>
      <c r="N1170" s="7" t="s">
        <v>79</v>
      </c>
      <c r="O1170" s="7" t="s">
        <v>79</v>
      </c>
      <c r="P1170" s="6" t="s">
        <v>62</v>
      </c>
      <c r="Q1170" s="8" t="s">
        <v>4537</v>
      </c>
      <c r="R1170" t="str">
        <f>HYPERLINK("https://docs.wto.org/imrd/directdoc.asp?DDFDocuments/t/G/TBTN26/KEN1971.docx", "https://docs.wto.org/imrd/directdoc.asp?DDFDocuments/t/G/TBTN26/KEN1971.docx")</f>
        <v>https://docs.wto.org/imrd/directdoc.asp?DDFDocuments/t/G/TBTN26/KEN1971.docx</v>
      </c>
      <c r="S1170" t="str">
        <f>HYPERLINK("https://docs.wto.org/imrd/directdoc.asp?DDFDocuments/u/G/TBTN26/KEN1971.docx", "https://docs.wto.org/imrd/directdoc.asp?DDFDocuments/u/G/TBTN26/KEN1971.docx")</f>
        <v>https://docs.wto.org/imrd/directdoc.asp?DDFDocuments/u/G/TBTN26/KEN1971.docx</v>
      </c>
      <c r="T1170" t="str">
        <f>HYPERLINK("https://docs.wto.org/imrd/directdoc.asp?DDFDocuments/v/G/TBTN26/KEN1971.docx", "https://docs.wto.org/imrd/directdoc.asp?DDFDocuments/v/G/TBTN26/KEN1971.docx")</f>
        <v>https://docs.wto.org/imrd/directdoc.asp?DDFDocuments/v/G/TBTN26/KEN1971.docx</v>
      </c>
      <c r="U1170" t="s">
        <v>46</v>
      </c>
      <c r="V1170" t="s">
        <v>46</v>
      </c>
      <c r="W1170" t="s">
        <v>64</v>
      </c>
      <c r="X1170" t="s">
        <v>46</v>
      </c>
      <c r="Y1170" t="s">
        <v>46</v>
      </c>
      <c r="Z1170" t="s">
        <v>46</v>
      </c>
      <c r="AA1170" t="s">
        <v>46</v>
      </c>
      <c r="AB1170" s="2" t="s">
        <v>4538</v>
      </c>
      <c r="AC1170" t="s">
        <v>43</v>
      </c>
      <c r="AD1170" t="s">
        <v>43</v>
      </c>
      <c r="AE1170" t="s">
        <v>43</v>
      </c>
      <c r="AF1170" t="s">
        <v>43</v>
      </c>
      <c r="AG1170" t="s">
        <v>43</v>
      </c>
      <c r="AH1170" s="2" t="s">
        <v>43</v>
      </c>
    </row>
    <row r="1171" spans="1:34" ht="60">
      <c r="A1171" s="6" t="s">
        <v>74</v>
      </c>
      <c r="B1171" s="7">
        <v>46037</v>
      </c>
      <c r="C1171" s="9" t="str">
        <f>HYPERLINK("https://eping.wto.org/en/Search?viewData= G/SPS/N/IND/347"," G/SPS/N/IND/347")</f>
        <v xml:space="preserve"> G/SPS/N/IND/347</v>
      </c>
      <c r="D1171" s="8" t="s">
        <v>3644</v>
      </c>
      <c r="E1171" s="8" t="s">
        <v>3645</v>
      </c>
      <c r="F1171" s="8" t="s">
        <v>2447</v>
      </c>
      <c r="G1171" s="8" t="s">
        <v>3647</v>
      </c>
      <c r="H1171" s="8" t="s">
        <v>43</v>
      </c>
      <c r="I1171" s="8" t="s">
        <v>1721</v>
      </c>
      <c r="J1171" s="8" t="s">
        <v>43</v>
      </c>
      <c r="K1171" s="8" t="s">
        <v>4508</v>
      </c>
      <c r="L1171" s="6" t="s">
        <v>43</v>
      </c>
      <c r="M1171" s="7">
        <v>46097</v>
      </c>
      <c r="N1171" s="7">
        <v>46014</v>
      </c>
      <c r="O1171" s="7" t="s">
        <v>114</v>
      </c>
      <c r="P1171" s="6" t="s">
        <v>62</v>
      </c>
      <c r="Q1171" s="8" t="s">
        <v>4539</v>
      </c>
      <c r="R1171" t="str">
        <f>HYPERLINK("https://docs.wto.org/imrd/directdoc.asp?DDFDocuments/t/G/SPS/NIND347.docx", "https://docs.wto.org/imrd/directdoc.asp?DDFDocuments/t/G/SPS/NIND347.docx")</f>
        <v>https://docs.wto.org/imrd/directdoc.asp?DDFDocuments/t/G/SPS/NIND347.docx</v>
      </c>
      <c r="S1171" t="str">
        <f>HYPERLINK("https://docs.wto.org/imrd/directdoc.asp?DDFDocuments/u/G/SPS/NIND347.docx", "https://docs.wto.org/imrd/directdoc.asp?DDFDocuments/u/G/SPS/NIND347.docx")</f>
        <v>https://docs.wto.org/imrd/directdoc.asp?DDFDocuments/u/G/SPS/NIND347.docx</v>
      </c>
      <c r="T1171" t="str">
        <f>HYPERLINK("https://docs.wto.org/imrd/directdoc.asp?DDFDocuments/v/G/SPS/NIND347.docx", "https://docs.wto.org/imrd/directdoc.asp?DDFDocuments/v/G/SPS/NIND347.docx")</f>
        <v>https://docs.wto.org/imrd/directdoc.asp?DDFDocuments/v/G/SPS/NIND347.docx</v>
      </c>
      <c r="U1171" t="s">
        <v>43</v>
      </c>
      <c r="V1171" t="s">
        <v>43</v>
      </c>
      <c r="W1171" t="s">
        <v>43</v>
      </c>
      <c r="X1171" t="s">
        <v>43</v>
      </c>
      <c r="Y1171" t="s">
        <v>43</v>
      </c>
      <c r="Z1171" t="s">
        <v>43</v>
      </c>
      <c r="AA1171" t="s">
        <v>43</v>
      </c>
      <c r="AB1171" s="2" t="s">
        <v>43</v>
      </c>
      <c r="AC1171" t="s">
        <v>46</v>
      </c>
      <c r="AD1171" t="s">
        <v>64</v>
      </c>
      <c r="AE1171" t="s">
        <v>46</v>
      </c>
      <c r="AF1171" t="s">
        <v>46</v>
      </c>
      <c r="AG1171" t="s">
        <v>64</v>
      </c>
      <c r="AH1171" s="2" t="s">
        <v>43</v>
      </c>
    </row>
    <row r="1172" spans="1:34" ht="30">
      <c r="A1172" s="6" t="s">
        <v>100</v>
      </c>
      <c r="B1172" s="7">
        <v>46037</v>
      </c>
      <c r="C1172" s="9" t="str">
        <f>HYPERLINK("https://eping.wto.org/en/Search?viewData= G/TBT/N/THA/709/Add.1"," G/TBT/N/THA/709/Add.1")</f>
        <v xml:space="preserve"> G/TBT/N/THA/709/Add.1</v>
      </c>
      <c r="D1172" s="8" t="s">
        <v>4540</v>
      </c>
      <c r="E1172" s="8" t="s">
        <v>4541</v>
      </c>
      <c r="F1172" s="8" t="s">
        <v>4542</v>
      </c>
      <c r="G1172" s="8" t="s">
        <v>43</v>
      </c>
      <c r="H1172" s="8" t="s">
        <v>4543</v>
      </c>
      <c r="I1172" s="8" t="s">
        <v>143</v>
      </c>
      <c r="J1172" s="8" t="s">
        <v>43</v>
      </c>
      <c r="K1172" s="8" t="s">
        <v>43</v>
      </c>
      <c r="L1172" s="6"/>
      <c r="M1172" s="7" t="s">
        <v>43</v>
      </c>
      <c r="N1172" s="7"/>
      <c r="O1172" s="7"/>
      <c r="P1172" s="6" t="s">
        <v>44</v>
      </c>
      <c r="Q1172" s="8" t="s">
        <v>4544</v>
      </c>
      <c r="R1172" t="str">
        <f>HYPERLINK("https://docs.wto.org/imrd/directdoc.asp?DDFDocuments/t/G/TBTN23/THA709A1.docx", "https://docs.wto.org/imrd/directdoc.asp?DDFDocuments/t/G/TBTN23/THA709A1.docx")</f>
        <v>https://docs.wto.org/imrd/directdoc.asp?DDFDocuments/t/G/TBTN23/THA709A1.docx</v>
      </c>
      <c r="S1172" t="str">
        <f>HYPERLINK("https://docs.wto.org/imrd/directdoc.asp?DDFDocuments/u/G/TBTN23/THA709A1.docx", "https://docs.wto.org/imrd/directdoc.asp?DDFDocuments/u/G/TBTN23/THA709A1.docx")</f>
        <v>https://docs.wto.org/imrd/directdoc.asp?DDFDocuments/u/G/TBTN23/THA709A1.docx</v>
      </c>
      <c r="T1172" t="str">
        <f>HYPERLINK("https://docs.wto.org/imrd/directdoc.asp?DDFDocuments/v/G/TBTN23/THA709A1.docx", "https://docs.wto.org/imrd/directdoc.asp?DDFDocuments/v/G/TBTN23/THA709A1.docx")</f>
        <v>https://docs.wto.org/imrd/directdoc.asp?DDFDocuments/v/G/TBTN23/THA709A1.docx</v>
      </c>
      <c r="U1172" t="s">
        <v>64</v>
      </c>
      <c r="V1172" t="s">
        <v>46</v>
      </c>
      <c r="W1172" t="s">
        <v>46</v>
      </c>
      <c r="X1172" t="s">
        <v>46</v>
      </c>
      <c r="Y1172" t="s">
        <v>46</v>
      </c>
      <c r="Z1172" t="s">
        <v>46</v>
      </c>
      <c r="AA1172" t="s">
        <v>46</v>
      </c>
      <c r="AB1172" s="2" t="s">
        <v>43</v>
      </c>
      <c r="AC1172" t="s">
        <v>43</v>
      </c>
      <c r="AD1172" t="s">
        <v>43</v>
      </c>
      <c r="AE1172" t="s">
        <v>43</v>
      </c>
      <c r="AF1172" t="s">
        <v>43</v>
      </c>
      <c r="AG1172" t="s">
        <v>43</v>
      </c>
      <c r="AH1172" s="2" t="s">
        <v>43</v>
      </c>
    </row>
    <row r="1173" spans="1:34" ht="105">
      <c r="A1173" s="6" t="s">
        <v>82</v>
      </c>
      <c r="B1173" s="7">
        <v>46037</v>
      </c>
      <c r="C1173" s="9" t="str">
        <f>HYPERLINK("https://eping.wto.org/en/Search?viewData= G/SPS/N/JPN/1351/Add.1"," G/SPS/N/JPN/1351/Add.1")</f>
        <v xml:space="preserve"> G/SPS/N/JPN/1351/Add.1</v>
      </c>
      <c r="D1173" s="8" t="s">
        <v>4545</v>
      </c>
      <c r="E1173" s="8" t="s">
        <v>4546</v>
      </c>
      <c r="F1173" s="8" t="s">
        <v>4547</v>
      </c>
      <c r="G1173" s="8" t="s">
        <v>4548</v>
      </c>
      <c r="H1173" s="8" t="s">
        <v>43</v>
      </c>
      <c r="I1173" s="8" t="s">
        <v>58</v>
      </c>
      <c r="J1173" s="8" t="s">
        <v>43</v>
      </c>
      <c r="K1173" s="8" t="s">
        <v>3489</v>
      </c>
      <c r="L1173" s="6"/>
      <c r="M1173" s="7" t="s">
        <v>43</v>
      </c>
      <c r="N1173" s="7"/>
      <c r="O1173" s="7"/>
      <c r="P1173" s="6" t="s">
        <v>44</v>
      </c>
      <c r="Q1173" s="6"/>
      <c r="R1173" t="str">
        <f>HYPERLINK("https://docs.wto.org/imrd/directdoc.asp?DDFDocuments/t/G/SPS/NJPN1351A1.docx", "https://docs.wto.org/imrd/directdoc.asp?DDFDocuments/t/G/SPS/NJPN1351A1.docx")</f>
        <v>https://docs.wto.org/imrd/directdoc.asp?DDFDocuments/t/G/SPS/NJPN1351A1.docx</v>
      </c>
      <c r="S1173" t="str">
        <f>HYPERLINK("https://docs.wto.org/imrd/directdoc.asp?DDFDocuments/u/G/SPS/NJPN1351A1.docx", "https://docs.wto.org/imrd/directdoc.asp?DDFDocuments/u/G/SPS/NJPN1351A1.docx")</f>
        <v>https://docs.wto.org/imrd/directdoc.asp?DDFDocuments/u/G/SPS/NJPN1351A1.docx</v>
      </c>
      <c r="T1173" t="str">
        <f>HYPERLINK("https://docs.wto.org/imrd/directdoc.asp?DDFDocuments/v/G/SPS/NJPN1351A1.docx", "https://docs.wto.org/imrd/directdoc.asp?DDFDocuments/v/G/SPS/NJPN1351A1.docx")</f>
        <v>https://docs.wto.org/imrd/directdoc.asp?DDFDocuments/v/G/SPS/NJPN1351A1.docx</v>
      </c>
      <c r="U1173" t="s">
        <v>43</v>
      </c>
      <c r="V1173" t="s">
        <v>43</v>
      </c>
      <c r="W1173" t="s">
        <v>43</v>
      </c>
      <c r="X1173" t="s">
        <v>43</v>
      </c>
      <c r="Y1173" t="s">
        <v>43</v>
      </c>
      <c r="Z1173" t="s">
        <v>43</v>
      </c>
      <c r="AA1173" t="s">
        <v>43</v>
      </c>
      <c r="AB1173" s="2" t="s">
        <v>43</v>
      </c>
      <c r="AC1173" t="s">
        <v>43</v>
      </c>
      <c r="AD1173" t="s">
        <v>43</v>
      </c>
      <c r="AE1173" t="s">
        <v>43</v>
      </c>
      <c r="AF1173" t="s">
        <v>43</v>
      </c>
      <c r="AG1173" t="s">
        <v>43</v>
      </c>
      <c r="AH1173" s="2" t="s">
        <v>43</v>
      </c>
    </row>
    <row r="1174" spans="1:34" ht="105">
      <c r="A1174" s="6" t="s">
        <v>89</v>
      </c>
      <c r="B1174" s="7">
        <v>46036</v>
      </c>
      <c r="C1174" s="9" t="str">
        <f>HYPERLINK("https://eping.wto.org/en/Search?viewData= G/SPS/N/CRI/336/Add.1"," G/SPS/N/CRI/336/Add.1")</f>
        <v xml:space="preserve"> G/SPS/N/CRI/336/Add.1</v>
      </c>
      <c r="D1174" s="8" t="s">
        <v>4549</v>
      </c>
      <c r="E1174" s="8" t="s">
        <v>4549</v>
      </c>
      <c r="F1174" s="8" t="s">
        <v>4550</v>
      </c>
      <c r="G1174" s="8" t="s">
        <v>1710</v>
      </c>
      <c r="H1174" s="8" t="s">
        <v>43</v>
      </c>
      <c r="I1174" s="8" t="s">
        <v>94</v>
      </c>
      <c r="J1174" s="8" t="s">
        <v>43</v>
      </c>
      <c r="K1174" s="8" t="s">
        <v>4551</v>
      </c>
      <c r="L1174" s="6"/>
      <c r="M1174" s="7" t="s">
        <v>43</v>
      </c>
      <c r="N1174" s="7"/>
      <c r="O1174" s="7"/>
      <c r="P1174" s="6" t="s">
        <v>44</v>
      </c>
      <c r="Q1174" s="8" t="s">
        <v>4552</v>
      </c>
      <c r="R1174" t="str">
        <f>HYPERLINK("https://docs.wto.org/imrd/directdoc.asp?DDFDocuments/t/G/SPS/NCRI336A1.docx", "https://docs.wto.org/imrd/directdoc.asp?DDFDocuments/t/G/SPS/NCRI336A1.docx")</f>
        <v>https://docs.wto.org/imrd/directdoc.asp?DDFDocuments/t/G/SPS/NCRI336A1.docx</v>
      </c>
      <c r="S1174" t="str">
        <f>HYPERLINK("https://docs.wto.org/imrd/directdoc.asp?DDFDocuments/u/G/SPS/NCRI336A1.docx", "https://docs.wto.org/imrd/directdoc.asp?DDFDocuments/u/G/SPS/NCRI336A1.docx")</f>
        <v>https://docs.wto.org/imrd/directdoc.asp?DDFDocuments/u/G/SPS/NCRI336A1.docx</v>
      </c>
      <c r="T1174" t="str">
        <f>HYPERLINK("https://docs.wto.org/imrd/directdoc.asp?DDFDocuments/v/G/SPS/NCRI336A1.docx", "https://docs.wto.org/imrd/directdoc.asp?DDFDocuments/v/G/SPS/NCRI336A1.docx")</f>
        <v>https://docs.wto.org/imrd/directdoc.asp?DDFDocuments/v/G/SPS/NCRI336A1.docx</v>
      </c>
      <c r="U1174" t="s">
        <v>43</v>
      </c>
      <c r="V1174" t="s">
        <v>43</v>
      </c>
      <c r="W1174" t="s">
        <v>43</v>
      </c>
      <c r="X1174" t="s">
        <v>43</v>
      </c>
      <c r="Y1174" t="s">
        <v>43</v>
      </c>
      <c r="Z1174" t="s">
        <v>43</v>
      </c>
      <c r="AA1174" t="s">
        <v>43</v>
      </c>
      <c r="AB1174" s="2" t="s">
        <v>43</v>
      </c>
      <c r="AC1174" t="s">
        <v>43</v>
      </c>
      <c r="AD1174" t="s">
        <v>43</v>
      </c>
      <c r="AE1174" t="s">
        <v>43</v>
      </c>
      <c r="AF1174" t="s">
        <v>43</v>
      </c>
      <c r="AG1174" t="s">
        <v>43</v>
      </c>
      <c r="AH1174" s="2" t="s">
        <v>43</v>
      </c>
    </row>
    <row r="1175" spans="1:34" ht="105">
      <c r="A1175" s="6" t="s">
        <v>89</v>
      </c>
      <c r="B1175" s="7">
        <v>46036</v>
      </c>
      <c r="C1175" s="9" t="str">
        <f>HYPERLINK("https://eping.wto.org/en/Search?viewData= G/SPS/N/CRI/338/Add.1"," G/SPS/N/CRI/338/Add.1")</f>
        <v xml:space="preserve"> G/SPS/N/CRI/338/Add.1</v>
      </c>
      <c r="D1175" s="8" t="s">
        <v>4553</v>
      </c>
      <c r="E1175" s="8" t="s">
        <v>4553</v>
      </c>
      <c r="F1175" s="8" t="s">
        <v>4550</v>
      </c>
      <c r="G1175" s="8" t="s">
        <v>1710</v>
      </c>
      <c r="H1175" s="8" t="s">
        <v>43</v>
      </c>
      <c r="I1175" s="8" t="s">
        <v>94</v>
      </c>
      <c r="J1175" s="8" t="s">
        <v>43</v>
      </c>
      <c r="K1175" s="8" t="s">
        <v>4554</v>
      </c>
      <c r="L1175" s="6"/>
      <c r="M1175" s="7" t="s">
        <v>43</v>
      </c>
      <c r="N1175" s="7"/>
      <c r="O1175" s="7"/>
      <c r="P1175" s="6" t="s">
        <v>44</v>
      </c>
      <c r="Q1175" s="8" t="s">
        <v>4555</v>
      </c>
      <c r="R1175" t="str">
        <f>HYPERLINK("https://docs.wto.org/imrd/directdoc.asp?DDFDocuments/t/G/SPS/NCRI338A1.docx", "https://docs.wto.org/imrd/directdoc.asp?DDFDocuments/t/G/SPS/NCRI338A1.docx")</f>
        <v>https://docs.wto.org/imrd/directdoc.asp?DDFDocuments/t/G/SPS/NCRI338A1.docx</v>
      </c>
      <c r="S1175" t="str">
        <f>HYPERLINK("https://docs.wto.org/imrd/directdoc.asp?DDFDocuments/u/G/SPS/NCRI338A1.docx", "https://docs.wto.org/imrd/directdoc.asp?DDFDocuments/u/G/SPS/NCRI338A1.docx")</f>
        <v>https://docs.wto.org/imrd/directdoc.asp?DDFDocuments/u/G/SPS/NCRI338A1.docx</v>
      </c>
      <c r="T1175" t="str">
        <f>HYPERLINK("https://docs.wto.org/imrd/directdoc.asp?DDFDocuments/v/G/SPS/NCRI338A1.docx", "https://docs.wto.org/imrd/directdoc.asp?DDFDocuments/v/G/SPS/NCRI338A1.docx")</f>
        <v>https://docs.wto.org/imrd/directdoc.asp?DDFDocuments/v/G/SPS/NCRI338A1.docx</v>
      </c>
      <c r="U1175" t="s">
        <v>43</v>
      </c>
      <c r="V1175" t="s">
        <v>43</v>
      </c>
      <c r="W1175" t="s">
        <v>43</v>
      </c>
      <c r="X1175" t="s">
        <v>43</v>
      </c>
      <c r="Y1175" t="s">
        <v>43</v>
      </c>
      <c r="Z1175" t="s">
        <v>43</v>
      </c>
      <c r="AA1175" t="s">
        <v>43</v>
      </c>
      <c r="AB1175" s="2" t="s">
        <v>43</v>
      </c>
      <c r="AC1175" t="s">
        <v>43</v>
      </c>
      <c r="AD1175" t="s">
        <v>43</v>
      </c>
      <c r="AE1175" t="s">
        <v>43</v>
      </c>
      <c r="AF1175" t="s">
        <v>43</v>
      </c>
      <c r="AG1175" t="s">
        <v>43</v>
      </c>
      <c r="AH1175" s="2" t="s">
        <v>43</v>
      </c>
    </row>
    <row r="1176" spans="1:34" ht="45">
      <c r="A1176" s="6" t="s">
        <v>89</v>
      </c>
      <c r="B1176" s="7">
        <v>46036</v>
      </c>
      <c r="C1176" s="9" t="str">
        <f>HYPERLINK("https://eping.wto.org/en/Search?viewData= G/SPS/N/CRI/347"," G/SPS/N/CRI/347")</f>
        <v xml:space="preserve"> G/SPS/N/CRI/347</v>
      </c>
      <c r="D1176" s="8" t="s">
        <v>4556</v>
      </c>
      <c r="E1176" s="8" t="s">
        <v>4557</v>
      </c>
      <c r="F1176" s="8" t="s">
        <v>315</v>
      </c>
      <c r="G1176" s="8" t="s">
        <v>4558</v>
      </c>
      <c r="H1176" s="8" t="s">
        <v>43</v>
      </c>
      <c r="I1176" s="8" t="s">
        <v>94</v>
      </c>
      <c r="J1176" s="8" t="s">
        <v>43</v>
      </c>
      <c r="K1176" s="8" t="s">
        <v>121</v>
      </c>
      <c r="L1176" s="6" t="s">
        <v>74</v>
      </c>
      <c r="M1176" s="7">
        <v>46096</v>
      </c>
      <c r="N1176" s="7" t="s">
        <v>79</v>
      </c>
      <c r="O1176" s="7" t="s">
        <v>2172</v>
      </c>
      <c r="P1176" s="6" t="s">
        <v>62</v>
      </c>
      <c r="Q1176" s="8" t="s">
        <v>4559</v>
      </c>
      <c r="R1176" t="str">
        <f>HYPERLINK("https://docs.wto.org/imrd/directdoc.asp?DDFDocuments/t/G/SPS/NCRI347.docx", "https://docs.wto.org/imrd/directdoc.asp?DDFDocuments/t/G/SPS/NCRI347.docx")</f>
        <v>https://docs.wto.org/imrd/directdoc.asp?DDFDocuments/t/G/SPS/NCRI347.docx</v>
      </c>
      <c r="S1176" t="str">
        <f>HYPERLINK("https://docs.wto.org/imrd/directdoc.asp?DDFDocuments/u/G/SPS/NCRI347.docx", "https://docs.wto.org/imrd/directdoc.asp?DDFDocuments/u/G/SPS/NCRI347.docx")</f>
        <v>https://docs.wto.org/imrd/directdoc.asp?DDFDocuments/u/G/SPS/NCRI347.docx</v>
      </c>
      <c r="T1176" t="str">
        <f>HYPERLINK("https://docs.wto.org/imrd/directdoc.asp?DDFDocuments/v/G/SPS/NCRI347.docx", "https://docs.wto.org/imrd/directdoc.asp?DDFDocuments/v/G/SPS/NCRI347.docx")</f>
        <v>https://docs.wto.org/imrd/directdoc.asp?DDFDocuments/v/G/SPS/NCRI347.docx</v>
      </c>
      <c r="U1176" t="s">
        <v>43</v>
      </c>
      <c r="V1176" t="s">
        <v>43</v>
      </c>
      <c r="W1176" t="s">
        <v>43</v>
      </c>
      <c r="X1176" t="s">
        <v>43</v>
      </c>
      <c r="Y1176" t="s">
        <v>43</v>
      </c>
      <c r="Z1176" t="s">
        <v>43</v>
      </c>
      <c r="AA1176" t="s">
        <v>43</v>
      </c>
      <c r="AB1176" s="2" t="s">
        <v>43</v>
      </c>
      <c r="AC1176" t="s">
        <v>46</v>
      </c>
      <c r="AD1176" t="s">
        <v>46</v>
      </c>
      <c r="AE1176" t="s">
        <v>46</v>
      </c>
      <c r="AF1176" t="s">
        <v>64</v>
      </c>
      <c r="AG1176" t="s">
        <v>99</v>
      </c>
      <c r="AH1176" s="2" t="s">
        <v>43</v>
      </c>
    </row>
    <row r="1177" spans="1:34" ht="60">
      <c r="A1177" s="6" t="s">
        <v>47</v>
      </c>
      <c r="B1177" s="7">
        <v>46036</v>
      </c>
      <c r="C1177" s="9" t="str">
        <f>HYPERLINK("https://eping.wto.org/en/Search?viewData= G/TBT/N/CAN/767"," G/TBT/N/CAN/767")</f>
        <v xml:space="preserve"> G/TBT/N/CAN/767</v>
      </c>
      <c r="D1177" s="8" t="s">
        <v>4560</v>
      </c>
      <c r="E1177" s="8" t="s">
        <v>4561</v>
      </c>
      <c r="F1177" s="8" t="s">
        <v>50</v>
      </c>
      <c r="G1177" s="8" t="s">
        <v>43</v>
      </c>
      <c r="H1177" s="8" t="s">
        <v>1568</v>
      </c>
      <c r="I1177" s="8" t="s">
        <v>52</v>
      </c>
      <c r="J1177" s="8" t="s">
        <v>53</v>
      </c>
      <c r="K1177" s="8" t="s">
        <v>43</v>
      </c>
      <c r="L1177" s="6"/>
      <c r="M1177" s="7">
        <v>46101</v>
      </c>
      <c r="N1177" s="7" t="s">
        <v>4562</v>
      </c>
      <c r="O1177" s="7" t="s">
        <v>4562</v>
      </c>
      <c r="P1177" s="6" t="s">
        <v>62</v>
      </c>
      <c r="Q1177" s="8" t="s">
        <v>4563</v>
      </c>
      <c r="R1177" t="str">
        <f>HYPERLINK("https://docs.wto.org/imrd/directdoc.asp?DDFDocuments/t/G/TBTN26/CAN767.docx", "https://docs.wto.org/imrd/directdoc.asp?DDFDocuments/t/G/TBTN26/CAN767.docx")</f>
        <v>https://docs.wto.org/imrd/directdoc.asp?DDFDocuments/t/G/TBTN26/CAN767.docx</v>
      </c>
      <c r="S1177" t="str">
        <f>HYPERLINK("https://docs.wto.org/imrd/directdoc.asp?DDFDocuments/u/G/TBTN26/CAN767.docx", "https://docs.wto.org/imrd/directdoc.asp?DDFDocuments/u/G/TBTN26/CAN767.docx")</f>
        <v>https://docs.wto.org/imrd/directdoc.asp?DDFDocuments/u/G/TBTN26/CAN767.docx</v>
      </c>
      <c r="T1177" t="str">
        <f>HYPERLINK("https://docs.wto.org/imrd/directdoc.asp?DDFDocuments/v/G/TBTN26/CAN767.docx", "https://docs.wto.org/imrd/directdoc.asp?DDFDocuments/v/G/TBTN26/CAN767.docx")</f>
        <v>https://docs.wto.org/imrd/directdoc.asp?DDFDocuments/v/G/TBTN26/CAN767.docx</v>
      </c>
      <c r="U1177" t="s">
        <v>64</v>
      </c>
      <c r="V1177" t="s">
        <v>46</v>
      </c>
      <c r="W1177" t="s">
        <v>46</v>
      </c>
      <c r="X1177" t="s">
        <v>46</v>
      </c>
      <c r="Y1177" t="s">
        <v>46</v>
      </c>
      <c r="Z1177" t="s">
        <v>46</v>
      </c>
      <c r="AA1177" t="s">
        <v>46</v>
      </c>
      <c r="AB1177" s="2" t="s">
        <v>4564</v>
      </c>
      <c r="AC1177" t="s">
        <v>43</v>
      </c>
      <c r="AD1177" t="s">
        <v>43</v>
      </c>
      <c r="AE1177" t="s">
        <v>43</v>
      </c>
      <c r="AF1177" t="s">
        <v>43</v>
      </c>
      <c r="AG1177" t="s">
        <v>43</v>
      </c>
      <c r="AH1177" s="2" t="s">
        <v>43</v>
      </c>
    </row>
    <row r="1178" spans="1:34" ht="60">
      <c r="A1178" s="6" t="s">
        <v>756</v>
      </c>
      <c r="B1178" s="7">
        <v>46036</v>
      </c>
      <c r="C1178" s="9" t="str">
        <f>HYPERLINK("https://eping.wto.org/en/Search?viewData= G/SPS/N/PER/1105"," G/SPS/N/PER/1105")</f>
        <v xml:space="preserve"> G/SPS/N/PER/1105</v>
      </c>
      <c r="D1178" s="8" t="s">
        <v>4565</v>
      </c>
      <c r="E1178" s="8" t="s">
        <v>4566</v>
      </c>
      <c r="F1178" s="8" t="s">
        <v>4567</v>
      </c>
      <c r="G1178" s="8" t="s">
        <v>2544</v>
      </c>
      <c r="H1178" s="8" t="s">
        <v>43</v>
      </c>
      <c r="I1178" s="8" t="s">
        <v>254</v>
      </c>
      <c r="J1178" s="8" t="s">
        <v>43</v>
      </c>
      <c r="K1178" s="8" t="s">
        <v>2117</v>
      </c>
      <c r="L1178" s="6" t="s">
        <v>289</v>
      </c>
      <c r="M1178" s="7">
        <v>46096</v>
      </c>
      <c r="N1178" s="7" t="s">
        <v>79</v>
      </c>
      <c r="O1178" s="7" t="s">
        <v>761</v>
      </c>
      <c r="P1178" s="6" t="s">
        <v>62</v>
      </c>
      <c r="Q1178" s="8" t="s">
        <v>4568</v>
      </c>
      <c r="R1178" t="str">
        <f>HYPERLINK("https://docs.wto.org/imrd/directdoc.asp?DDFDocuments/t/G/SPS/NPER1105.docx", "https://docs.wto.org/imrd/directdoc.asp?DDFDocuments/t/G/SPS/NPER1105.docx")</f>
        <v>https://docs.wto.org/imrd/directdoc.asp?DDFDocuments/t/G/SPS/NPER1105.docx</v>
      </c>
      <c r="S1178" t="str">
        <f>HYPERLINK("https://docs.wto.org/imrd/directdoc.asp?DDFDocuments/u/G/SPS/NPER1105.docx", "https://docs.wto.org/imrd/directdoc.asp?DDFDocuments/u/G/SPS/NPER1105.docx")</f>
        <v>https://docs.wto.org/imrd/directdoc.asp?DDFDocuments/u/G/SPS/NPER1105.docx</v>
      </c>
      <c r="T1178" t="str">
        <f>HYPERLINK("https://docs.wto.org/imrd/directdoc.asp?DDFDocuments/v/G/SPS/NPER1105.docx", "https://docs.wto.org/imrd/directdoc.asp?DDFDocuments/v/G/SPS/NPER1105.docx")</f>
        <v>https://docs.wto.org/imrd/directdoc.asp?DDFDocuments/v/G/SPS/NPER1105.docx</v>
      </c>
      <c r="U1178" t="s">
        <v>43</v>
      </c>
      <c r="V1178" t="s">
        <v>43</v>
      </c>
      <c r="W1178" t="s">
        <v>43</v>
      </c>
      <c r="X1178" t="s">
        <v>43</v>
      </c>
      <c r="Y1178" t="s">
        <v>43</v>
      </c>
      <c r="Z1178" t="s">
        <v>43</v>
      </c>
      <c r="AA1178" t="s">
        <v>43</v>
      </c>
      <c r="AB1178" s="2" t="s">
        <v>43</v>
      </c>
      <c r="AC1178" t="s">
        <v>46</v>
      </c>
      <c r="AD1178" t="s">
        <v>46</v>
      </c>
      <c r="AE1178" t="s">
        <v>64</v>
      </c>
      <c r="AF1178" t="s">
        <v>46</v>
      </c>
      <c r="AG1178" t="s">
        <v>64</v>
      </c>
      <c r="AH1178" s="2" t="s">
        <v>43</v>
      </c>
    </row>
    <row r="1179" spans="1:34" ht="90">
      <c r="A1179" s="6" t="s">
        <v>356</v>
      </c>
      <c r="B1179" s="7">
        <v>46036</v>
      </c>
      <c r="C1179" s="9" t="str">
        <f>HYPERLINK("https://eping.wto.org/en/Search?viewData= G/SPS/N/EU/904"," G/SPS/N/EU/904")</f>
        <v xml:space="preserve"> G/SPS/N/EU/904</v>
      </c>
      <c r="D1179" s="8" t="s">
        <v>4569</v>
      </c>
      <c r="E1179" s="8" t="s">
        <v>4570</v>
      </c>
      <c r="F1179" s="8" t="s">
        <v>359</v>
      </c>
      <c r="G1179" s="8" t="s">
        <v>156</v>
      </c>
      <c r="H1179" s="8" t="s">
        <v>43</v>
      </c>
      <c r="I1179" s="8" t="s">
        <v>361</v>
      </c>
      <c r="J1179" s="8" t="s">
        <v>43</v>
      </c>
      <c r="K1179" s="8" t="s">
        <v>3204</v>
      </c>
      <c r="L1179" s="6"/>
      <c r="M1179" s="7" t="s">
        <v>43</v>
      </c>
      <c r="N1179" s="7">
        <v>46009</v>
      </c>
      <c r="O1179" s="7" t="s">
        <v>1184</v>
      </c>
      <c r="P1179" s="6" t="s">
        <v>62</v>
      </c>
      <c r="Q1179" s="8" t="s">
        <v>4571</v>
      </c>
      <c r="R1179" t="str">
        <f>HYPERLINK("https://docs.wto.org/imrd/directdoc.asp?DDFDocuments/t/G/SPS/NEU904.docx", "https://docs.wto.org/imrd/directdoc.asp?DDFDocuments/t/G/SPS/NEU904.docx")</f>
        <v>https://docs.wto.org/imrd/directdoc.asp?DDFDocuments/t/G/SPS/NEU904.docx</v>
      </c>
      <c r="S1179" t="str">
        <f>HYPERLINK("https://docs.wto.org/imrd/directdoc.asp?DDFDocuments/u/G/SPS/NEU904.docx", "https://docs.wto.org/imrd/directdoc.asp?DDFDocuments/u/G/SPS/NEU904.docx")</f>
        <v>https://docs.wto.org/imrd/directdoc.asp?DDFDocuments/u/G/SPS/NEU904.docx</v>
      </c>
      <c r="T1179" t="str">
        <f>HYPERLINK("https://docs.wto.org/imrd/directdoc.asp?DDFDocuments/v/G/SPS/NEU904.docx", "https://docs.wto.org/imrd/directdoc.asp?DDFDocuments/v/G/SPS/NEU904.docx")</f>
        <v>https://docs.wto.org/imrd/directdoc.asp?DDFDocuments/v/G/SPS/NEU904.docx</v>
      </c>
      <c r="U1179" t="s">
        <v>43</v>
      </c>
      <c r="V1179" t="s">
        <v>43</v>
      </c>
      <c r="W1179" t="s">
        <v>43</v>
      </c>
      <c r="X1179" t="s">
        <v>43</v>
      </c>
      <c r="Y1179" t="s">
        <v>43</v>
      </c>
      <c r="Z1179" t="s">
        <v>43</v>
      </c>
      <c r="AA1179" t="s">
        <v>43</v>
      </c>
      <c r="AB1179" s="2" t="s">
        <v>43</v>
      </c>
      <c r="AC1179" t="s">
        <v>64</v>
      </c>
      <c r="AD1179" t="s">
        <v>46</v>
      </c>
      <c r="AE1179" t="s">
        <v>46</v>
      </c>
      <c r="AF1179" t="s">
        <v>46</v>
      </c>
      <c r="AG1179" t="s">
        <v>64</v>
      </c>
      <c r="AH1179" s="2" t="s">
        <v>43</v>
      </c>
    </row>
    <row r="1180" spans="1:34" ht="409.5">
      <c r="A1180" s="6" t="s">
        <v>1814</v>
      </c>
      <c r="B1180" s="7">
        <v>46036</v>
      </c>
      <c r="C1180" s="9" t="str">
        <f>HYPERLINK("https://eping.wto.org/en/Search?viewData= G/SPS/N/GBR/117"," G/SPS/N/GBR/117")</f>
        <v xml:space="preserve"> G/SPS/N/GBR/117</v>
      </c>
      <c r="D1180" s="8" t="s">
        <v>4572</v>
      </c>
      <c r="E1180" s="8" t="s">
        <v>4573</v>
      </c>
      <c r="F1180" s="8" t="s">
        <v>4574</v>
      </c>
      <c r="G1180" s="8" t="s">
        <v>43</v>
      </c>
      <c r="H1180" s="8" t="s">
        <v>43</v>
      </c>
      <c r="I1180" s="8" t="s">
        <v>58</v>
      </c>
      <c r="J1180" s="8" t="s">
        <v>43</v>
      </c>
      <c r="K1180" s="8" t="s">
        <v>1061</v>
      </c>
      <c r="L1180" s="6" t="s">
        <v>43</v>
      </c>
      <c r="M1180" s="7" t="s">
        <v>43</v>
      </c>
      <c r="N1180" s="7">
        <v>45987</v>
      </c>
      <c r="O1180" s="7">
        <v>45987</v>
      </c>
      <c r="P1180" s="6" t="s">
        <v>62</v>
      </c>
      <c r="Q1180" s="8" t="s">
        <v>4575</v>
      </c>
      <c r="R1180" t="str">
        <f>HYPERLINK("https://docs.wto.org/imrd/directdoc.asp?DDFDocuments/t/G/SPS/NGBR117.docx", "https://docs.wto.org/imrd/directdoc.asp?DDFDocuments/t/G/SPS/NGBR117.docx")</f>
        <v>https://docs.wto.org/imrd/directdoc.asp?DDFDocuments/t/G/SPS/NGBR117.docx</v>
      </c>
      <c r="S1180" t="str">
        <f>HYPERLINK("https://docs.wto.org/imrd/directdoc.asp?DDFDocuments/u/G/SPS/NGBR117.docx", "https://docs.wto.org/imrd/directdoc.asp?DDFDocuments/u/G/SPS/NGBR117.docx")</f>
        <v>https://docs.wto.org/imrd/directdoc.asp?DDFDocuments/u/G/SPS/NGBR117.docx</v>
      </c>
      <c r="T1180" t="str">
        <f>HYPERLINK("https://docs.wto.org/imrd/directdoc.asp?DDFDocuments/v/G/SPS/NGBR117.docx", "https://docs.wto.org/imrd/directdoc.asp?DDFDocuments/v/G/SPS/NGBR117.docx")</f>
        <v>https://docs.wto.org/imrd/directdoc.asp?DDFDocuments/v/G/SPS/NGBR117.docx</v>
      </c>
      <c r="U1180" t="s">
        <v>43</v>
      </c>
      <c r="V1180" t="s">
        <v>43</v>
      </c>
      <c r="W1180" t="s">
        <v>43</v>
      </c>
      <c r="X1180" t="s">
        <v>43</v>
      </c>
      <c r="Y1180" t="s">
        <v>43</v>
      </c>
      <c r="Z1180" t="s">
        <v>43</v>
      </c>
      <c r="AA1180" t="s">
        <v>43</v>
      </c>
      <c r="AB1180" s="2" t="s">
        <v>43</v>
      </c>
      <c r="AC1180" t="s">
        <v>64</v>
      </c>
      <c r="AD1180" t="s">
        <v>46</v>
      </c>
      <c r="AE1180" t="s">
        <v>46</v>
      </c>
      <c r="AF1180" t="s">
        <v>46</v>
      </c>
      <c r="AG1180" t="s">
        <v>46</v>
      </c>
      <c r="AH1180" s="2" t="s">
        <v>4576</v>
      </c>
    </row>
    <row r="1181" spans="1:34" ht="375">
      <c r="A1181" s="6" t="s">
        <v>158</v>
      </c>
      <c r="B1181" s="7">
        <v>46036</v>
      </c>
      <c r="C1181" s="9" t="str">
        <f>HYPERLINK("https://eping.wto.org/en/Search?viewData= G/SPS/N/UKR/246/Rev.2"," G/SPS/N/UKR/246/Rev.2")</f>
        <v xml:space="preserve"> G/SPS/N/UKR/246/Rev.2</v>
      </c>
      <c r="D1181" s="8" t="s">
        <v>4577</v>
      </c>
      <c r="E1181" s="8" t="s">
        <v>4578</v>
      </c>
      <c r="F1181" s="8" t="s">
        <v>4579</v>
      </c>
      <c r="G1181" s="8" t="s">
        <v>43</v>
      </c>
      <c r="H1181" s="8" t="s">
        <v>43</v>
      </c>
      <c r="I1181" s="8" t="s">
        <v>58</v>
      </c>
      <c r="J1181" s="8" t="s">
        <v>43</v>
      </c>
      <c r="K1181" s="8" t="s">
        <v>310</v>
      </c>
      <c r="L1181" s="6" t="s">
        <v>43</v>
      </c>
      <c r="M1181" s="7">
        <v>46096</v>
      </c>
      <c r="N1181" s="7" t="s">
        <v>304</v>
      </c>
      <c r="O1181" s="7" t="s">
        <v>4580</v>
      </c>
      <c r="P1181" s="6" t="s">
        <v>138</v>
      </c>
      <c r="Q1181" s="8" t="s">
        <v>4581</v>
      </c>
      <c r="R1181" t="str">
        <f>HYPERLINK("https://docs.wto.org/imrd/directdoc.asp?DDFDocuments/t/G/SPS/NUKR246R2.docx", "https://docs.wto.org/imrd/directdoc.asp?DDFDocuments/t/G/SPS/NUKR246R2.docx")</f>
        <v>https://docs.wto.org/imrd/directdoc.asp?DDFDocuments/t/G/SPS/NUKR246R2.docx</v>
      </c>
      <c r="S1181" t="str">
        <f>HYPERLINK("https://docs.wto.org/imrd/directdoc.asp?DDFDocuments/u/G/SPS/NUKR246R2.docx", "https://docs.wto.org/imrd/directdoc.asp?DDFDocuments/u/G/SPS/NUKR246R2.docx")</f>
        <v>https://docs.wto.org/imrd/directdoc.asp?DDFDocuments/u/G/SPS/NUKR246R2.docx</v>
      </c>
      <c r="T1181" t="str">
        <f>HYPERLINK("https://docs.wto.org/imrd/directdoc.asp?DDFDocuments/v/G/SPS/NUKR246R2.docx", "https://docs.wto.org/imrd/directdoc.asp?DDFDocuments/v/G/SPS/NUKR246R2.docx")</f>
        <v>https://docs.wto.org/imrd/directdoc.asp?DDFDocuments/v/G/SPS/NUKR246R2.docx</v>
      </c>
      <c r="U1181" t="s">
        <v>43</v>
      </c>
      <c r="V1181" t="s">
        <v>43</v>
      </c>
      <c r="W1181" t="s">
        <v>43</v>
      </c>
      <c r="X1181" t="s">
        <v>43</v>
      </c>
      <c r="Y1181" t="s">
        <v>43</v>
      </c>
      <c r="Z1181" t="s">
        <v>43</v>
      </c>
      <c r="AA1181" t="s">
        <v>43</v>
      </c>
      <c r="AB1181" s="2" t="s">
        <v>43</v>
      </c>
      <c r="AC1181" t="s">
        <v>46</v>
      </c>
      <c r="AD1181" t="s">
        <v>46</v>
      </c>
      <c r="AE1181" t="s">
        <v>46</v>
      </c>
      <c r="AF1181" t="s">
        <v>64</v>
      </c>
      <c r="AG1181" t="s">
        <v>99</v>
      </c>
      <c r="AH1181" s="2" t="s">
        <v>43</v>
      </c>
    </row>
    <row r="1182" spans="1:34" ht="105">
      <c r="A1182" s="6" t="s">
        <v>89</v>
      </c>
      <c r="B1182" s="7">
        <v>46036</v>
      </c>
      <c r="C1182" s="9" t="str">
        <f>HYPERLINK("https://eping.wto.org/en/Search?viewData= G/SPS/N/CRI/337/Add.1"," G/SPS/N/CRI/337/Add.1")</f>
        <v xml:space="preserve"> G/SPS/N/CRI/337/Add.1</v>
      </c>
      <c r="D1182" s="8" t="s">
        <v>4582</v>
      </c>
      <c r="E1182" s="8" t="s">
        <v>4582</v>
      </c>
      <c r="F1182" s="8" t="s">
        <v>4583</v>
      </c>
      <c r="G1182" s="8" t="s">
        <v>4584</v>
      </c>
      <c r="H1182" s="8" t="s">
        <v>43</v>
      </c>
      <c r="I1182" s="8" t="s">
        <v>94</v>
      </c>
      <c r="J1182" s="8" t="s">
        <v>43</v>
      </c>
      <c r="K1182" s="8" t="s">
        <v>175</v>
      </c>
      <c r="L1182" s="6"/>
      <c r="M1182" s="7" t="s">
        <v>43</v>
      </c>
      <c r="N1182" s="7"/>
      <c r="O1182" s="7"/>
      <c r="P1182" s="6" t="s">
        <v>44</v>
      </c>
      <c r="Q1182" s="8" t="s">
        <v>4585</v>
      </c>
      <c r="R1182" t="str">
        <f>HYPERLINK("https://docs.wto.org/imrd/directdoc.asp?DDFDocuments/t/G/SPS/NCRI337A1.docx", "https://docs.wto.org/imrd/directdoc.asp?DDFDocuments/t/G/SPS/NCRI337A1.docx")</f>
        <v>https://docs.wto.org/imrd/directdoc.asp?DDFDocuments/t/G/SPS/NCRI337A1.docx</v>
      </c>
      <c r="S1182" t="str">
        <f>HYPERLINK("https://docs.wto.org/imrd/directdoc.asp?DDFDocuments/u/G/SPS/NCRI337A1.docx", "https://docs.wto.org/imrd/directdoc.asp?DDFDocuments/u/G/SPS/NCRI337A1.docx")</f>
        <v>https://docs.wto.org/imrd/directdoc.asp?DDFDocuments/u/G/SPS/NCRI337A1.docx</v>
      </c>
      <c r="T1182" t="str">
        <f>HYPERLINK("https://docs.wto.org/imrd/directdoc.asp?DDFDocuments/v/G/SPS/NCRI337A1.docx", "https://docs.wto.org/imrd/directdoc.asp?DDFDocuments/v/G/SPS/NCRI337A1.docx")</f>
        <v>https://docs.wto.org/imrd/directdoc.asp?DDFDocuments/v/G/SPS/NCRI337A1.docx</v>
      </c>
      <c r="U1182" t="s">
        <v>43</v>
      </c>
      <c r="V1182" t="s">
        <v>43</v>
      </c>
      <c r="W1182" t="s">
        <v>43</v>
      </c>
      <c r="X1182" t="s">
        <v>43</v>
      </c>
      <c r="Y1182" t="s">
        <v>43</v>
      </c>
      <c r="Z1182" t="s">
        <v>43</v>
      </c>
      <c r="AA1182" t="s">
        <v>43</v>
      </c>
      <c r="AB1182" s="2" t="s">
        <v>43</v>
      </c>
      <c r="AC1182" t="s">
        <v>43</v>
      </c>
      <c r="AD1182" t="s">
        <v>43</v>
      </c>
      <c r="AE1182" t="s">
        <v>43</v>
      </c>
      <c r="AF1182" t="s">
        <v>43</v>
      </c>
      <c r="AG1182" t="s">
        <v>43</v>
      </c>
      <c r="AH1182" s="2" t="s">
        <v>43</v>
      </c>
    </row>
    <row r="1183" spans="1:34" ht="375">
      <c r="A1183" s="6" t="s">
        <v>158</v>
      </c>
      <c r="B1183" s="7">
        <v>46036</v>
      </c>
      <c r="C1183" s="9" t="str">
        <f>HYPERLINK("https://eping.wto.org/en/Search?viewData= G/TBT/N/UKR/349/Rev.2"," G/TBT/N/UKR/349/Rev.2")</f>
        <v xml:space="preserve"> G/TBT/N/UKR/349/Rev.2</v>
      </c>
      <c r="D1183" s="8" t="s">
        <v>4577</v>
      </c>
      <c r="E1183" s="8" t="s">
        <v>4586</v>
      </c>
      <c r="F1183" s="8" t="s">
        <v>4579</v>
      </c>
      <c r="G1183" s="8" t="s">
        <v>43</v>
      </c>
      <c r="H1183" s="8" t="s">
        <v>453</v>
      </c>
      <c r="I1183" s="8" t="s">
        <v>4587</v>
      </c>
      <c r="J1183" s="8" t="s">
        <v>43</v>
      </c>
      <c r="K1183" s="8" t="s">
        <v>240</v>
      </c>
      <c r="L1183" s="6"/>
      <c r="M1183" s="7">
        <v>46096</v>
      </c>
      <c r="N1183" s="7" t="s">
        <v>79</v>
      </c>
      <c r="O1183" s="7" t="s">
        <v>4580</v>
      </c>
      <c r="P1183" s="6" t="s">
        <v>138</v>
      </c>
      <c r="Q1183" s="8" t="s">
        <v>4588</v>
      </c>
      <c r="R1183" t="str">
        <f>HYPERLINK("https://docs.wto.org/imrd/directdoc.asp?DDFDocuments/t/G/TBTN25/UKR349R2.docx", "https://docs.wto.org/imrd/directdoc.asp?DDFDocuments/t/G/TBTN25/UKR349R2.docx")</f>
        <v>https://docs.wto.org/imrd/directdoc.asp?DDFDocuments/t/G/TBTN25/UKR349R2.docx</v>
      </c>
      <c r="S1183" t="str">
        <f>HYPERLINK("https://docs.wto.org/imrd/directdoc.asp?DDFDocuments/u/G/TBTN25/UKR349R2.docx", "https://docs.wto.org/imrd/directdoc.asp?DDFDocuments/u/G/TBTN25/UKR349R2.docx")</f>
        <v>https://docs.wto.org/imrd/directdoc.asp?DDFDocuments/u/G/TBTN25/UKR349R2.docx</v>
      </c>
      <c r="T1183" t="str">
        <f>HYPERLINK("https://docs.wto.org/imrd/directdoc.asp?DDFDocuments/v/G/TBTN25/UKR349R2.docx", "https://docs.wto.org/imrd/directdoc.asp?DDFDocuments/v/G/TBTN25/UKR349R2.docx")</f>
        <v>https://docs.wto.org/imrd/directdoc.asp?DDFDocuments/v/G/TBTN25/UKR349R2.docx</v>
      </c>
      <c r="U1183" t="s">
        <v>64</v>
      </c>
      <c r="V1183" t="s">
        <v>46</v>
      </c>
      <c r="W1183" t="s">
        <v>64</v>
      </c>
      <c r="X1183" t="s">
        <v>46</v>
      </c>
      <c r="Y1183" t="s">
        <v>46</v>
      </c>
      <c r="Z1183" t="s">
        <v>46</v>
      </c>
      <c r="AA1183" t="s">
        <v>46</v>
      </c>
      <c r="AB1183" s="2" t="s">
        <v>4589</v>
      </c>
      <c r="AC1183" t="s">
        <v>43</v>
      </c>
      <c r="AD1183" t="s">
        <v>43</v>
      </c>
      <c r="AE1183" t="s">
        <v>43</v>
      </c>
      <c r="AF1183" t="s">
        <v>43</v>
      </c>
      <c r="AG1183" t="s">
        <v>43</v>
      </c>
      <c r="AH1183" s="2" t="s">
        <v>43</v>
      </c>
    </row>
    <row r="1184" spans="1:34" ht="105">
      <c r="A1184" s="6" t="s">
        <v>89</v>
      </c>
      <c r="B1184" s="7">
        <v>46036</v>
      </c>
      <c r="C1184" s="9" t="str">
        <f>HYPERLINK("https://eping.wto.org/en/Search?viewData= G/SPS/N/CRI/339/Add.1"," G/SPS/N/CRI/339/Add.1")</f>
        <v xml:space="preserve"> G/SPS/N/CRI/339/Add.1</v>
      </c>
      <c r="D1184" s="8" t="s">
        <v>4590</v>
      </c>
      <c r="E1184" s="8" t="s">
        <v>4590</v>
      </c>
      <c r="F1184" s="8" t="s">
        <v>4591</v>
      </c>
      <c r="G1184" s="8" t="s">
        <v>4592</v>
      </c>
      <c r="H1184" s="8" t="s">
        <v>43</v>
      </c>
      <c r="I1184" s="8" t="s">
        <v>94</v>
      </c>
      <c r="J1184" s="8" t="s">
        <v>43</v>
      </c>
      <c r="K1184" s="8" t="s">
        <v>4554</v>
      </c>
      <c r="L1184" s="6"/>
      <c r="M1184" s="7" t="s">
        <v>43</v>
      </c>
      <c r="N1184" s="7"/>
      <c r="O1184" s="7"/>
      <c r="P1184" s="6" t="s">
        <v>44</v>
      </c>
      <c r="Q1184" s="8" t="s">
        <v>4593</v>
      </c>
      <c r="R1184" t="str">
        <f>HYPERLINK("https://docs.wto.org/imrd/directdoc.asp?DDFDocuments/t/G/SPS/NCRI339A1.docx", "https://docs.wto.org/imrd/directdoc.asp?DDFDocuments/t/G/SPS/NCRI339A1.docx")</f>
        <v>https://docs.wto.org/imrd/directdoc.asp?DDFDocuments/t/G/SPS/NCRI339A1.docx</v>
      </c>
      <c r="S1184" t="str">
        <f>HYPERLINK("https://docs.wto.org/imrd/directdoc.asp?DDFDocuments/u/G/SPS/NCRI339A1.docx", "https://docs.wto.org/imrd/directdoc.asp?DDFDocuments/u/G/SPS/NCRI339A1.docx")</f>
        <v>https://docs.wto.org/imrd/directdoc.asp?DDFDocuments/u/G/SPS/NCRI339A1.docx</v>
      </c>
      <c r="T1184" t="str">
        <f>HYPERLINK("https://docs.wto.org/imrd/directdoc.asp?DDFDocuments/v/G/SPS/NCRI339A1.docx", "https://docs.wto.org/imrd/directdoc.asp?DDFDocuments/v/G/SPS/NCRI339A1.docx")</f>
        <v>https://docs.wto.org/imrd/directdoc.asp?DDFDocuments/v/G/SPS/NCRI339A1.docx</v>
      </c>
      <c r="U1184" t="s">
        <v>43</v>
      </c>
      <c r="V1184" t="s">
        <v>43</v>
      </c>
      <c r="W1184" t="s">
        <v>43</v>
      </c>
      <c r="X1184" t="s">
        <v>43</v>
      </c>
      <c r="Y1184" t="s">
        <v>43</v>
      </c>
      <c r="Z1184" t="s">
        <v>43</v>
      </c>
      <c r="AA1184" t="s">
        <v>43</v>
      </c>
      <c r="AB1184" s="2" t="s">
        <v>43</v>
      </c>
      <c r="AC1184" t="s">
        <v>43</v>
      </c>
      <c r="AD1184" t="s">
        <v>43</v>
      </c>
      <c r="AE1184" t="s">
        <v>43</v>
      </c>
      <c r="AF1184" t="s">
        <v>43</v>
      </c>
      <c r="AG1184" t="s">
        <v>43</v>
      </c>
      <c r="AH1184" s="2" t="s">
        <v>43</v>
      </c>
    </row>
    <row r="1185" spans="1:34" ht="105">
      <c r="A1185" s="6" t="s">
        <v>1814</v>
      </c>
      <c r="B1185" s="7">
        <v>46036</v>
      </c>
      <c r="C1185" s="9" t="str">
        <f>HYPERLINK("https://eping.wto.org/en/Search?viewData= G/TBT/N/GBR/112"," G/TBT/N/GBR/112")</f>
        <v xml:space="preserve"> G/TBT/N/GBR/112</v>
      </c>
      <c r="D1185" s="8" t="s">
        <v>4594</v>
      </c>
      <c r="E1185" s="8" t="s">
        <v>4595</v>
      </c>
      <c r="F1185" s="8" t="s">
        <v>4596</v>
      </c>
      <c r="G1185" s="8" t="s">
        <v>43</v>
      </c>
      <c r="H1185" s="8" t="s">
        <v>4597</v>
      </c>
      <c r="I1185" s="8" t="s">
        <v>4598</v>
      </c>
      <c r="J1185" s="8" t="s">
        <v>4599</v>
      </c>
      <c r="K1185" s="8" t="s">
        <v>43</v>
      </c>
      <c r="L1185" s="6"/>
      <c r="M1185" s="7">
        <v>46096</v>
      </c>
      <c r="N1185" s="7">
        <v>46202</v>
      </c>
      <c r="O1185" s="7" t="s">
        <v>114</v>
      </c>
      <c r="P1185" s="6" t="s">
        <v>62</v>
      </c>
      <c r="Q1185" s="8" t="s">
        <v>4600</v>
      </c>
      <c r="R1185" t="str">
        <f>HYPERLINK("https://docs.wto.org/imrd/directdoc.asp?DDFDocuments/t/G/TBTN26/GBR112.docx", "https://docs.wto.org/imrd/directdoc.asp?DDFDocuments/t/G/TBTN26/GBR112.docx")</f>
        <v>https://docs.wto.org/imrd/directdoc.asp?DDFDocuments/t/G/TBTN26/GBR112.docx</v>
      </c>
      <c r="S1185" t="str">
        <f>HYPERLINK("https://docs.wto.org/imrd/directdoc.asp?DDFDocuments/u/G/TBTN26/GBR112.docx", "https://docs.wto.org/imrd/directdoc.asp?DDFDocuments/u/G/TBTN26/GBR112.docx")</f>
        <v>https://docs.wto.org/imrd/directdoc.asp?DDFDocuments/u/G/TBTN26/GBR112.docx</v>
      </c>
      <c r="T1185" t="str">
        <f>HYPERLINK("https://docs.wto.org/imrd/directdoc.asp?DDFDocuments/v/G/TBTN26/GBR112.docx", "https://docs.wto.org/imrd/directdoc.asp?DDFDocuments/v/G/TBTN26/GBR112.docx")</f>
        <v>https://docs.wto.org/imrd/directdoc.asp?DDFDocuments/v/G/TBTN26/GBR112.docx</v>
      </c>
      <c r="U1185" t="s">
        <v>64</v>
      </c>
      <c r="V1185" t="s">
        <v>46</v>
      </c>
      <c r="W1185" t="s">
        <v>46</v>
      </c>
      <c r="X1185" t="s">
        <v>46</v>
      </c>
      <c r="Y1185" t="s">
        <v>46</v>
      </c>
      <c r="Z1185" t="s">
        <v>46</v>
      </c>
      <c r="AA1185" t="s">
        <v>46</v>
      </c>
      <c r="AB1185" s="2" t="s">
        <v>4601</v>
      </c>
      <c r="AC1185" t="s">
        <v>43</v>
      </c>
      <c r="AD1185" t="s">
        <v>43</v>
      </c>
      <c r="AE1185" t="s">
        <v>43</v>
      </c>
      <c r="AF1185" t="s">
        <v>43</v>
      </c>
      <c r="AG1185" t="s">
        <v>43</v>
      </c>
      <c r="AH1185" s="2" t="s">
        <v>43</v>
      </c>
    </row>
    <row r="1186" spans="1:34" ht="135">
      <c r="A1186" s="6" t="s">
        <v>146</v>
      </c>
      <c r="B1186" s="7">
        <v>46036</v>
      </c>
      <c r="C1186" s="9" t="str">
        <f>HYPERLINK("https://eping.wto.org/en/Search?viewData= G/TBT/N/CHL/778"," G/TBT/N/CHL/778")</f>
        <v xml:space="preserve"> G/TBT/N/CHL/778</v>
      </c>
      <c r="D1186" s="8" t="s">
        <v>4602</v>
      </c>
      <c r="E1186" s="8" t="s">
        <v>4603</v>
      </c>
      <c r="F1186" s="8" t="s">
        <v>4604</v>
      </c>
      <c r="G1186" s="8" t="s">
        <v>43</v>
      </c>
      <c r="H1186" s="8" t="s">
        <v>43</v>
      </c>
      <c r="I1186" s="8" t="s">
        <v>295</v>
      </c>
      <c r="J1186" s="8" t="s">
        <v>43</v>
      </c>
      <c r="K1186" s="8" t="s">
        <v>4605</v>
      </c>
      <c r="L1186" s="6"/>
      <c r="M1186" s="7">
        <v>46096</v>
      </c>
      <c r="N1186" s="7" t="s">
        <v>4606</v>
      </c>
      <c r="O1186" s="7" t="s">
        <v>4607</v>
      </c>
      <c r="P1186" s="6" t="s">
        <v>62</v>
      </c>
      <c r="Q1186" s="8" t="s">
        <v>4608</v>
      </c>
      <c r="R1186" t="str">
        <f>HYPERLINK("https://docs.wto.org/imrd/directdoc.asp?DDFDocuments/t/G/TBTN26/CHL778.docx", "https://docs.wto.org/imrd/directdoc.asp?DDFDocuments/t/G/TBTN26/CHL778.docx")</f>
        <v>https://docs.wto.org/imrd/directdoc.asp?DDFDocuments/t/G/TBTN26/CHL778.docx</v>
      </c>
      <c r="S1186" t="str">
        <f>HYPERLINK("https://docs.wto.org/imrd/directdoc.asp?DDFDocuments/u/G/TBTN26/CHL778.docx", "https://docs.wto.org/imrd/directdoc.asp?DDFDocuments/u/G/TBTN26/CHL778.docx")</f>
        <v>https://docs.wto.org/imrd/directdoc.asp?DDFDocuments/u/G/TBTN26/CHL778.docx</v>
      </c>
      <c r="T1186" t="str">
        <f>HYPERLINK("https://docs.wto.org/imrd/directdoc.asp?DDFDocuments/v/G/TBTN26/CHL778.docx", "https://docs.wto.org/imrd/directdoc.asp?DDFDocuments/v/G/TBTN26/CHL778.docx")</f>
        <v>https://docs.wto.org/imrd/directdoc.asp?DDFDocuments/v/G/TBTN26/CHL778.docx</v>
      </c>
      <c r="U1186" t="s">
        <v>64</v>
      </c>
      <c r="V1186" t="s">
        <v>46</v>
      </c>
      <c r="W1186" t="s">
        <v>46</v>
      </c>
      <c r="X1186" t="s">
        <v>46</v>
      </c>
      <c r="Y1186" t="s">
        <v>46</v>
      </c>
      <c r="Z1186" t="s">
        <v>46</v>
      </c>
      <c r="AA1186" t="s">
        <v>46</v>
      </c>
      <c r="AB1186" s="2" t="s">
        <v>4609</v>
      </c>
      <c r="AC1186" t="s">
        <v>43</v>
      </c>
      <c r="AD1186" t="s">
        <v>43</v>
      </c>
      <c r="AE1186" t="s">
        <v>43</v>
      </c>
      <c r="AF1186" t="s">
        <v>43</v>
      </c>
      <c r="AG1186" t="s">
        <v>43</v>
      </c>
      <c r="AH1186" s="2" t="s">
        <v>43</v>
      </c>
    </row>
    <row r="1187" spans="1:34" ht="180">
      <c r="A1187" s="6" t="s">
        <v>146</v>
      </c>
      <c r="B1187" s="7">
        <v>46035</v>
      </c>
      <c r="C1187" s="9" t="str">
        <f>HYPERLINK("https://eping.wto.org/en/Search?viewData= G/TBT/N/CHL/776"," G/TBT/N/CHL/776")</f>
        <v xml:space="preserve"> G/TBT/N/CHL/776</v>
      </c>
      <c r="D1187" s="8" t="s">
        <v>4610</v>
      </c>
      <c r="E1187" s="8" t="s">
        <v>4611</v>
      </c>
      <c r="F1187" s="8" t="s">
        <v>3215</v>
      </c>
      <c r="G1187" s="8" t="s">
        <v>43</v>
      </c>
      <c r="H1187" s="8" t="s">
        <v>453</v>
      </c>
      <c r="I1187" s="8" t="s">
        <v>1891</v>
      </c>
      <c r="J1187" s="8" t="s">
        <v>4612</v>
      </c>
      <c r="K1187" s="8" t="s">
        <v>240</v>
      </c>
      <c r="L1187" s="6"/>
      <c r="M1187" s="7">
        <v>46095</v>
      </c>
      <c r="N1187" s="7" t="s">
        <v>79</v>
      </c>
      <c r="O1187" s="7" t="s">
        <v>79</v>
      </c>
      <c r="P1187" s="6" t="s">
        <v>62</v>
      </c>
      <c r="Q1187" s="8" t="s">
        <v>4613</v>
      </c>
      <c r="R1187" t="str">
        <f>HYPERLINK("https://docs.wto.org/imrd/directdoc.asp?DDFDocuments/t/G/TBTN26/CHL776.docx", "https://docs.wto.org/imrd/directdoc.asp?DDFDocuments/t/G/TBTN26/CHL776.docx")</f>
        <v>https://docs.wto.org/imrd/directdoc.asp?DDFDocuments/t/G/TBTN26/CHL776.docx</v>
      </c>
      <c r="S1187" t="str">
        <f>HYPERLINK("https://docs.wto.org/imrd/directdoc.asp?DDFDocuments/u/G/TBTN26/CHL776.docx", "https://docs.wto.org/imrd/directdoc.asp?DDFDocuments/u/G/TBTN26/CHL776.docx")</f>
        <v>https://docs.wto.org/imrd/directdoc.asp?DDFDocuments/u/G/TBTN26/CHL776.docx</v>
      </c>
      <c r="T1187" t="str">
        <f>HYPERLINK("https://docs.wto.org/imrd/directdoc.asp?DDFDocuments/v/G/TBTN26/CHL776.docx", "https://docs.wto.org/imrd/directdoc.asp?DDFDocuments/v/G/TBTN26/CHL776.docx")</f>
        <v>https://docs.wto.org/imrd/directdoc.asp?DDFDocuments/v/G/TBTN26/CHL776.docx</v>
      </c>
      <c r="U1187" t="s">
        <v>64</v>
      </c>
      <c r="V1187" t="s">
        <v>46</v>
      </c>
      <c r="W1187" t="s">
        <v>46</v>
      </c>
      <c r="X1187" t="s">
        <v>46</v>
      </c>
      <c r="Y1187" t="s">
        <v>46</v>
      </c>
      <c r="Z1187" t="s">
        <v>46</v>
      </c>
      <c r="AA1187" t="s">
        <v>46</v>
      </c>
      <c r="AB1187" s="2" t="s">
        <v>4614</v>
      </c>
      <c r="AC1187" t="s">
        <v>43</v>
      </c>
      <c r="AD1187" t="s">
        <v>43</v>
      </c>
      <c r="AE1187" t="s">
        <v>43</v>
      </c>
      <c r="AF1187" t="s">
        <v>43</v>
      </c>
      <c r="AG1187" t="s">
        <v>43</v>
      </c>
      <c r="AH1187" s="2" t="s">
        <v>43</v>
      </c>
    </row>
    <row r="1188" spans="1:34" ht="30">
      <c r="A1188" s="6" t="s">
        <v>509</v>
      </c>
      <c r="B1188" s="7">
        <v>46035</v>
      </c>
      <c r="C1188" s="9" t="str">
        <f>HYPERLINK("https://eping.wto.org/en/Search?viewData= G/TBT/N/BDI/706, G/TBT/N/KEN/1970, G/TBT/N/RWA/1336, G/TBT/N/TZA/1486, G/TBT/N/UGA/2304"," G/TBT/N/BDI/706, G/TBT/N/KEN/1970, G/TBT/N/RWA/1336, G/TBT/N/TZA/1486, G/TBT/N/UGA/2304")</f>
        <v xml:space="preserve"> G/TBT/N/BDI/706, G/TBT/N/KEN/1970, G/TBT/N/RWA/1336, G/TBT/N/TZA/1486, G/TBT/N/UGA/2304</v>
      </c>
      <c r="D1188" s="8" t="s">
        <v>4615</v>
      </c>
      <c r="E1188" s="8" t="s">
        <v>4403</v>
      </c>
      <c r="F1188" s="8" t="s">
        <v>4404</v>
      </c>
      <c r="G1188" s="8" t="s">
        <v>43</v>
      </c>
      <c r="H1188" s="8" t="s">
        <v>4405</v>
      </c>
      <c r="I1188" s="8" t="s">
        <v>2058</v>
      </c>
      <c r="J1188" s="8" t="s">
        <v>43</v>
      </c>
      <c r="K1188" s="8" t="s">
        <v>43</v>
      </c>
      <c r="L1188" s="6"/>
      <c r="M1188" s="7">
        <v>46095</v>
      </c>
      <c r="N1188" s="7" t="s">
        <v>79</v>
      </c>
      <c r="O1188" s="7">
        <v>46112</v>
      </c>
      <c r="P1188" s="6" t="s">
        <v>62</v>
      </c>
      <c r="Q1188" s="8" t="s">
        <v>4616</v>
      </c>
      <c r="R1188" t="str">
        <f>HYPERLINK("https://docs.wto.org/imrd/directdoc.asp?DDFDocuments/t/G/TBTN26/BDI706.docx", "https://docs.wto.org/imrd/directdoc.asp?DDFDocuments/t/G/TBTN26/BDI706.docx")</f>
        <v>https://docs.wto.org/imrd/directdoc.asp?DDFDocuments/t/G/TBTN26/BDI706.docx</v>
      </c>
      <c r="S1188" t="str">
        <f>HYPERLINK("https://docs.wto.org/imrd/directdoc.asp?DDFDocuments/u/G/TBTN26/BDI706.docx", "https://docs.wto.org/imrd/directdoc.asp?DDFDocuments/u/G/TBTN26/BDI706.docx")</f>
        <v>https://docs.wto.org/imrd/directdoc.asp?DDFDocuments/u/G/TBTN26/BDI706.docx</v>
      </c>
      <c r="T1188" t="str">
        <f>HYPERLINK("https://docs.wto.org/imrd/directdoc.asp?DDFDocuments/v/G/TBTN26/BDI706.docx", "https://docs.wto.org/imrd/directdoc.asp?DDFDocuments/v/G/TBTN26/BDI706.docx")</f>
        <v>https://docs.wto.org/imrd/directdoc.asp?DDFDocuments/v/G/TBTN26/BDI706.docx</v>
      </c>
      <c r="U1188" t="s">
        <v>64</v>
      </c>
      <c r="V1188" t="s">
        <v>46</v>
      </c>
      <c r="W1188" t="s">
        <v>46</v>
      </c>
      <c r="X1188" t="s">
        <v>46</v>
      </c>
      <c r="Y1188" t="s">
        <v>46</v>
      </c>
      <c r="Z1188" t="s">
        <v>46</v>
      </c>
      <c r="AA1188" t="s">
        <v>46</v>
      </c>
      <c r="AB1188" s="2" t="s">
        <v>145</v>
      </c>
      <c r="AC1188" t="s">
        <v>43</v>
      </c>
      <c r="AD1188" t="s">
        <v>43</v>
      </c>
      <c r="AE1188" t="s">
        <v>43</v>
      </c>
      <c r="AF1188" t="s">
        <v>43</v>
      </c>
      <c r="AG1188" t="s">
        <v>43</v>
      </c>
      <c r="AH1188" s="2" t="s">
        <v>43</v>
      </c>
    </row>
    <row r="1189" spans="1:34" ht="30">
      <c r="A1189" s="6" t="s">
        <v>124</v>
      </c>
      <c r="B1189" s="7">
        <v>46035</v>
      </c>
      <c r="C1189" s="9" t="str">
        <f>HYPERLINK("https://eping.wto.org/en/Search?viewData= G/TBT/N/BDI/706, G/TBT/N/KEN/1970, G/TBT/N/RWA/1336, G/TBT/N/TZA/1486, G/TBT/N/UGA/2304"," G/TBT/N/BDI/706, G/TBT/N/KEN/1970, G/TBT/N/RWA/1336, G/TBT/N/TZA/1486, G/TBT/N/UGA/2304")</f>
        <v xml:space="preserve"> G/TBT/N/BDI/706, G/TBT/N/KEN/1970, G/TBT/N/RWA/1336, G/TBT/N/TZA/1486, G/TBT/N/UGA/2304</v>
      </c>
      <c r="D1189" s="8" t="s">
        <v>4615</v>
      </c>
      <c r="E1189" s="8" t="s">
        <v>4403</v>
      </c>
      <c r="F1189" s="8" t="s">
        <v>4404</v>
      </c>
      <c r="G1189" s="8" t="s">
        <v>43</v>
      </c>
      <c r="H1189" s="8" t="s">
        <v>4405</v>
      </c>
      <c r="I1189" s="8" t="s">
        <v>2058</v>
      </c>
      <c r="J1189" s="8" t="s">
        <v>43</v>
      </c>
      <c r="K1189" s="8" t="s">
        <v>43</v>
      </c>
      <c r="L1189" s="6"/>
      <c r="M1189" s="7">
        <v>46095</v>
      </c>
      <c r="N1189" s="7" t="s">
        <v>79</v>
      </c>
      <c r="O1189" s="7">
        <v>46112</v>
      </c>
      <c r="P1189" s="6" t="s">
        <v>62</v>
      </c>
      <c r="Q1189" s="8" t="s">
        <v>4616</v>
      </c>
      <c r="R1189" t="str">
        <f>HYPERLINK("https://docs.wto.org/imrd/directdoc.asp?DDFDocuments/t/G/TBTN26/BDI706.docx", "https://docs.wto.org/imrd/directdoc.asp?DDFDocuments/t/G/TBTN26/BDI706.docx")</f>
        <v>https://docs.wto.org/imrd/directdoc.asp?DDFDocuments/t/G/TBTN26/BDI706.docx</v>
      </c>
      <c r="S1189" t="str">
        <f>HYPERLINK("https://docs.wto.org/imrd/directdoc.asp?DDFDocuments/u/G/TBTN26/BDI706.docx", "https://docs.wto.org/imrd/directdoc.asp?DDFDocuments/u/G/TBTN26/BDI706.docx")</f>
        <v>https://docs.wto.org/imrd/directdoc.asp?DDFDocuments/u/G/TBTN26/BDI706.docx</v>
      </c>
      <c r="T1189" t="str">
        <f>HYPERLINK("https://docs.wto.org/imrd/directdoc.asp?DDFDocuments/v/G/TBTN26/BDI706.docx", "https://docs.wto.org/imrd/directdoc.asp?DDFDocuments/v/G/TBTN26/BDI706.docx")</f>
        <v>https://docs.wto.org/imrd/directdoc.asp?DDFDocuments/v/G/TBTN26/BDI706.docx</v>
      </c>
      <c r="U1189" t="s">
        <v>64</v>
      </c>
      <c r="V1189" t="s">
        <v>46</v>
      </c>
      <c r="W1189" t="s">
        <v>46</v>
      </c>
      <c r="X1189" t="s">
        <v>46</v>
      </c>
      <c r="Y1189" t="s">
        <v>46</v>
      </c>
      <c r="Z1189" t="s">
        <v>46</v>
      </c>
      <c r="AA1189" t="s">
        <v>46</v>
      </c>
      <c r="AB1189" s="2" t="s">
        <v>145</v>
      </c>
      <c r="AC1189" t="s">
        <v>43</v>
      </c>
      <c r="AD1189" t="s">
        <v>43</v>
      </c>
      <c r="AE1189" t="s">
        <v>43</v>
      </c>
      <c r="AF1189" t="s">
        <v>43</v>
      </c>
      <c r="AG1189" t="s">
        <v>43</v>
      </c>
      <c r="AH1189" s="2" t="s">
        <v>43</v>
      </c>
    </row>
    <row r="1190" spans="1:34" ht="105">
      <c r="A1190" s="6" t="s">
        <v>146</v>
      </c>
      <c r="B1190" s="7">
        <v>46035</v>
      </c>
      <c r="C1190" s="9" t="str">
        <f>HYPERLINK("https://eping.wto.org/en/Search?viewData= G/TBT/N/CHL/775"," G/TBT/N/CHL/775")</f>
        <v xml:space="preserve"> G/TBT/N/CHL/775</v>
      </c>
      <c r="D1190" s="8" t="s">
        <v>4617</v>
      </c>
      <c r="E1190" s="8" t="s">
        <v>4618</v>
      </c>
      <c r="F1190" s="8" t="s">
        <v>3215</v>
      </c>
      <c r="G1190" s="8" t="s">
        <v>43</v>
      </c>
      <c r="H1190" s="8" t="s">
        <v>453</v>
      </c>
      <c r="I1190" s="8" t="s">
        <v>275</v>
      </c>
      <c r="J1190" s="8" t="s">
        <v>43</v>
      </c>
      <c r="K1190" s="8" t="s">
        <v>240</v>
      </c>
      <c r="L1190" s="6"/>
      <c r="M1190" s="7">
        <v>46095</v>
      </c>
      <c r="N1190" s="7" t="s">
        <v>79</v>
      </c>
      <c r="O1190" s="7" t="s">
        <v>79</v>
      </c>
      <c r="P1190" s="6" t="s">
        <v>62</v>
      </c>
      <c r="Q1190" s="8" t="s">
        <v>4619</v>
      </c>
      <c r="R1190" t="str">
        <f>HYPERLINK("https://docs.wto.org/imrd/directdoc.asp?DDFDocuments/t/G/TBTN26/CHL775.docx", "https://docs.wto.org/imrd/directdoc.asp?DDFDocuments/t/G/TBTN26/CHL775.docx")</f>
        <v>https://docs.wto.org/imrd/directdoc.asp?DDFDocuments/t/G/TBTN26/CHL775.docx</v>
      </c>
      <c r="S1190" t="str">
        <f>HYPERLINK("https://docs.wto.org/imrd/directdoc.asp?DDFDocuments/u/G/TBTN26/CHL775.docx", "https://docs.wto.org/imrd/directdoc.asp?DDFDocuments/u/G/TBTN26/CHL775.docx")</f>
        <v>https://docs.wto.org/imrd/directdoc.asp?DDFDocuments/u/G/TBTN26/CHL775.docx</v>
      </c>
      <c r="T1190" t="str">
        <f>HYPERLINK("https://docs.wto.org/imrd/directdoc.asp?DDFDocuments/v/G/TBTN26/CHL775.docx", "https://docs.wto.org/imrd/directdoc.asp?DDFDocuments/v/G/TBTN26/CHL775.docx")</f>
        <v>https://docs.wto.org/imrd/directdoc.asp?DDFDocuments/v/G/TBTN26/CHL775.docx</v>
      </c>
      <c r="U1190" t="s">
        <v>46</v>
      </c>
      <c r="V1190" t="s">
        <v>64</v>
      </c>
      <c r="W1190" t="s">
        <v>46</v>
      </c>
      <c r="X1190" t="s">
        <v>46</v>
      </c>
      <c r="Y1190" t="s">
        <v>46</v>
      </c>
      <c r="Z1190" t="s">
        <v>46</v>
      </c>
      <c r="AA1190" t="s">
        <v>46</v>
      </c>
      <c r="AB1190" s="2" t="s">
        <v>4620</v>
      </c>
      <c r="AC1190" t="s">
        <v>43</v>
      </c>
      <c r="AD1190" t="s">
        <v>43</v>
      </c>
      <c r="AE1190" t="s">
        <v>43</v>
      </c>
      <c r="AF1190" t="s">
        <v>43</v>
      </c>
      <c r="AG1190" t="s">
        <v>43</v>
      </c>
      <c r="AH1190" s="2" t="s">
        <v>43</v>
      </c>
    </row>
    <row r="1191" spans="1:34" ht="195">
      <c r="A1191" s="6" t="s">
        <v>158</v>
      </c>
      <c r="B1191" s="7">
        <v>46035</v>
      </c>
      <c r="C1191" s="9" t="str">
        <f>HYPERLINK("https://eping.wto.org/en/Search?viewData= G/TBT/N/UKR/353/Add.1"," G/TBT/N/UKR/353/Add.1")</f>
        <v xml:space="preserve"> G/TBT/N/UKR/353/Add.1</v>
      </c>
      <c r="D1191" s="8" t="s">
        <v>4621</v>
      </c>
      <c r="E1191" s="8" t="s">
        <v>4622</v>
      </c>
      <c r="F1191" s="8" t="s">
        <v>4623</v>
      </c>
      <c r="G1191" s="8" t="s">
        <v>43</v>
      </c>
      <c r="H1191" s="8" t="s">
        <v>43</v>
      </c>
      <c r="I1191" s="8" t="s">
        <v>1114</v>
      </c>
      <c r="J1191" s="8" t="s">
        <v>43</v>
      </c>
      <c r="K1191" s="8" t="s">
        <v>42</v>
      </c>
      <c r="L1191" s="6"/>
      <c r="M1191" s="7" t="s">
        <v>43</v>
      </c>
      <c r="N1191" s="7"/>
      <c r="O1191" s="7"/>
      <c r="P1191" s="6" t="s">
        <v>44</v>
      </c>
      <c r="Q1191" s="8" t="s">
        <v>4624</v>
      </c>
      <c r="R1191" t="str">
        <f>HYPERLINK("https://docs.wto.org/imrd/directdoc.asp?DDFDocuments/t/G/TBTN25/UKR353A1.docx", "https://docs.wto.org/imrd/directdoc.asp?DDFDocuments/t/G/TBTN25/UKR353A1.docx")</f>
        <v>https://docs.wto.org/imrd/directdoc.asp?DDFDocuments/t/G/TBTN25/UKR353A1.docx</v>
      </c>
      <c r="S1191" t="str">
        <f>HYPERLINK("https://docs.wto.org/imrd/directdoc.asp?DDFDocuments/u/G/TBTN25/UKR353A1.docx", "https://docs.wto.org/imrd/directdoc.asp?DDFDocuments/u/G/TBTN25/UKR353A1.docx")</f>
        <v>https://docs.wto.org/imrd/directdoc.asp?DDFDocuments/u/G/TBTN25/UKR353A1.docx</v>
      </c>
      <c r="T1191" t="str">
        <f>HYPERLINK("https://docs.wto.org/imrd/directdoc.asp?DDFDocuments/v/G/TBTN25/UKR353A1.docx", "https://docs.wto.org/imrd/directdoc.asp?DDFDocuments/v/G/TBTN25/UKR353A1.docx")</f>
        <v>https://docs.wto.org/imrd/directdoc.asp?DDFDocuments/v/G/TBTN25/UKR353A1.docx</v>
      </c>
      <c r="U1191" t="s">
        <v>46</v>
      </c>
      <c r="V1191" t="s">
        <v>46</v>
      </c>
      <c r="W1191" t="s">
        <v>46</v>
      </c>
      <c r="X1191" t="s">
        <v>46</v>
      </c>
      <c r="Y1191" t="s">
        <v>46</v>
      </c>
      <c r="Z1191" t="s">
        <v>46</v>
      </c>
      <c r="AA1191" t="s">
        <v>46</v>
      </c>
      <c r="AB1191" s="2" t="s">
        <v>43</v>
      </c>
      <c r="AC1191" t="s">
        <v>43</v>
      </c>
      <c r="AD1191" t="s">
        <v>43</v>
      </c>
      <c r="AE1191" t="s">
        <v>43</v>
      </c>
      <c r="AF1191" t="s">
        <v>43</v>
      </c>
      <c r="AG1191" t="s">
        <v>43</v>
      </c>
      <c r="AH1191" s="2" t="s">
        <v>43</v>
      </c>
    </row>
    <row r="1192" spans="1:34" ht="270">
      <c r="A1192" s="6" t="s">
        <v>215</v>
      </c>
      <c r="B1192" s="7">
        <v>46035</v>
      </c>
      <c r="C1192" s="9" t="str">
        <f>HYPERLINK("https://eping.wto.org/en/Search?viewData= G/TBT/N/MYS/114/Add.1"," G/TBT/N/MYS/114/Add.1")</f>
        <v xml:space="preserve"> G/TBT/N/MYS/114/Add.1</v>
      </c>
      <c r="D1192" s="8" t="s">
        <v>4625</v>
      </c>
      <c r="E1192" s="8" t="s">
        <v>4626</v>
      </c>
      <c r="F1192" s="8" t="s">
        <v>4627</v>
      </c>
      <c r="G1192" s="8" t="s">
        <v>4628</v>
      </c>
      <c r="H1192" s="8" t="s">
        <v>43</v>
      </c>
      <c r="I1192" s="8" t="s">
        <v>1124</v>
      </c>
      <c r="J1192" s="8" t="s">
        <v>43</v>
      </c>
      <c r="K1192" s="8" t="s">
        <v>1029</v>
      </c>
      <c r="L1192" s="6"/>
      <c r="M1192" s="7" t="s">
        <v>43</v>
      </c>
      <c r="N1192" s="7"/>
      <c r="O1192" s="7"/>
      <c r="P1192" s="6" t="s">
        <v>44</v>
      </c>
      <c r="Q1192" s="8" t="s">
        <v>4629</v>
      </c>
      <c r="R1192" t="str">
        <f>HYPERLINK("https://docs.wto.org/imrd/directdoc.asp?DDFDocuments/t/G/TBTN22/MYS114A1.docx", "https://docs.wto.org/imrd/directdoc.asp?DDFDocuments/t/G/TBTN22/MYS114A1.docx")</f>
        <v>https://docs.wto.org/imrd/directdoc.asp?DDFDocuments/t/G/TBTN22/MYS114A1.docx</v>
      </c>
      <c r="S1192" t="str">
        <f>HYPERLINK("https://docs.wto.org/imrd/directdoc.asp?DDFDocuments/u/G/TBTN22/MYS114A1.docx", "https://docs.wto.org/imrd/directdoc.asp?DDFDocuments/u/G/TBTN22/MYS114A1.docx")</f>
        <v>https://docs.wto.org/imrd/directdoc.asp?DDFDocuments/u/G/TBTN22/MYS114A1.docx</v>
      </c>
      <c r="T1192" t="str">
        <f>HYPERLINK("https://docs.wto.org/imrd/directdoc.asp?DDFDocuments/v/G/TBTN22/MYS114A1.docx", "https://docs.wto.org/imrd/directdoc.asp?DDFDocuments/v/G/TBTN22/MYS114A1.docx")</f>
        <v>https://docs.wto.org/imrd/directdoc.asp?DDFDocuments/v/G/TBTN22/MYS114A1.docx</v>
      </c>
      <c r="U1192" t="s">
        <v>64</v>
      </c>
      <c r="V1192" t="s">
        <v>46</v>
      </c>
      <c r="W1192" t="s">
        <v>46</v>
      </c>
      <c r="X1192" t="s">
        <v>46</v>
      </c>
      <c r="Y1192" t="s">
        <v>46</v>
      </c>
      <c r="Z1192" t="s">
        <v>46</v>
      </c>
      <c r="AA1192" t="s">
        <v>46</v>
      </c>
      <c r="AB1192" s="2" t="s">
        <v>43</v>
      </c>
      <c r="AC1192" t="s">
        <v>43</v>
      </c>
      <c r="AD1192" t="s">
        <v>43</v>
      </c>
      <c r="AE1192" t="s">
        <v>43</v>
      </c>
      <c r="AF1192" t="s">
        <v>43</v>
      </c>
      <c r="AG1192" t="s">
        <v>43</v>
      </c>
      <c r="AH1192" s="2" t="s">
        <v>43</v>
      </c>
    </row>
    <row r="1193" spans="1:34" ht="120">
      <c r="A1193" s="6" t="s">
        <v>4630</v>
      </c>
      <c r="B1193" s="7">
        <v>46035</v>
      </c>
      <c r="C1193" s="9" t="str">
        <f>HYPERLINK("https://eping.wto.org/en/Search?viewData= G/TBT/N/GUY/66"," G/TBT/N/GUY/66")</f>
        <v xml:space="preserve"> G/TBT/N/GUY/66</v>
      </c>
      <c r="D1193" s="8" t="s">
        <v>4631</v>
      </c>
      <c r="E1193" s="8" t="s">
        <v>4632</v>
      </c>
      <c r="F1193" s="8" t="s">
        <v>4633</v>
      </c>
      <c r="G1193" s="8" t="s">
        <v>43</v>
      </c>
      <c r="H1193" s="8" t="s">
        <v>4634</v>
      </c>
      <c r="I1193" s="8" t="s">
        <v>524</v>
      </c>
      <c r="J1193" s="8" t="s">
        <v>4635</v>
      </c>
      <c r="K1193" s="8" t="s">
        <v>670</v>
      </c>
      <c r="L1193" s="6"/>
      <c r="M1193" s="7">
        <v>46095</v>
      </c>
      <c r="N1193" s="7" t="s">
        <v>79</v>
      </c>
      <c r="O1193" s="7" t="s">
        <v>79</v>
      </c>
      <c r="P1193" s="6" t="s">
        <v>62</v>
      </c>
      <c r="Q1193" s="8" t="s">
        <v>4636</v>
      </c>
      <c r="R1193" t="str">
        <f>HYPERLINK("https://docs.wto.org/imrd/directdoc.asp?DDFDocuments/t/G/TBTN26/GUY66.docx", "https://docs.wto.org/imrd/directdoc.asp?DDFDocuments/t/G/TBTN26/GUY66.docx")</f>
        <v>https://docs.wto.org/imrd/directdoc.asp?DDFDocuments/t/G/TBTN26/GUY66.docx</v>
      </c>
      <c r="S1193" t="str">
        <f>HYPERLINK("https://docs.wto.org/imrd/directdoc.asp?DDFDocuments/u/G/TBTN26/GUY66.docx", "https://docs.wto.org/imrd/directdoc.asp?DDFDocuments/u/G/TBTN26/GUY66.docx")</f>
        <v>https://docs.wto.org/imrd/directdoc.asp?DDFDocuments/u/G/TBTN26/GUY66.docx</v>
      </c>
      <c r="T1193" t="str">
        <f>HYPERLINK("https://docs.wto.org/imrd/directdoc.asp?DDFDocuments/v/G/TBTN26/GUY66.docx", "https://docs.wto.org/imrd/directdoc.asp?DDFDocuments/v/G/TBTN26/GUY66.docx")</f>
        <v>https://docs.wto.org/imrd/directdoc.asp?DDFDocuments/v/G/TBTN26/GUY66.docx</v>
      </c>
      <c r="U1193" t="s">
        <v>64</v>
      </c>
      <c r="V1193" t="s">
        <v>46</v>
      </c>
      <c r="W1193" t="s">
        <v>46</v>
      </c>
      <c r="X1193" t="s">
        <v>46</v>
      </c>
      <c r="Y1193" t="s">
        <v>46</v>
      </c>
      <c r="Z1193" t="s">
        <v>46</v>
      </c>
      <c r="AA1193" t="s">
        <v>46</v>
      </c>
      <c r="AB1193" s="2" t="s">
        <v>4637</v>
      </c>
      <c r="AC1193" t="s">
        <v>43</v>
      </c>
      <c r="AD1193" t="s">
        <v>43</v>
      </c>
      <c r="AE1193" t="s">
        <v>43</v>
      </c>
      <c r="AF1193" t="s">
        <v>43</v>
      </c>
      <c r="AG1193" t="s">
        <v>43</v>
      </c>
      <c r="AH1193" s="2" t="s">
        <v>43</v>
      </c>
    </row>
    <row r="1194" spans="1:34" ht="60">
      <c r="A1194" s="6" t="s">
        <v>215</v>
      </c>
      <c r="B1194" s="7">
        <v>46035</v>
      </c>
      <c r="C1194" s="9" t="str">
        <f>HYPERLINK("https://eping.wto.org/en/Search?viewData= G/TBT/N/MYS/81/Add.1"," G/TBT/N/MYS/81/Add.1")</f>
        <v xml:space="preserve"> G/TBT/N/MYS/81/Add.1</v>
      </c>
      <c r="D1194" s="8" t="s">
        <v>4638</v>
      </c>
      <c r="E1194" s="8" t="s">
        <v>4639</v>
      </c>
      <c r="F1194" s="8" t="s">
        <v>4640</v>
      </c>
      <c r="G1194" s="8" t="s">
        <v>4641</v>
      </c>
      <c r="H1194" s="8" t="s">
        <v>4642</v>
      </c>
      <c r="I1194" s="8" t="s">
        <v>275</v>
      </c>
      <c r="J1194" s="8" t="s">
        <v>4643</v>
      </c>
      <c r="K1194" s="8" t="s">
        <v>4644</v>
      </c>
      <c r="L1194" s="6"/>
      <c r="M1194" s="7" t="s">
        <v>43</v>
      </c>
      <c r="N1194" s="7"/>
      <c r="O1194" s="7"/>
      <c r="P1194" s="6" t="s">
        <v>44</v>
      </c>
      <c r="Q1194" s="8" t="s">
        <v>4645</v>
      </c>
      <c r="R1194" t="str">
        <f>HYPERLINK("https://docs.wto.org/imrd/directdoc.asp?DDFDocuments/t/G/TBTN18/MYS81A1.docx", "https://docs.wto.org/imrd/directdoc.asp?DDFDocuments/t/G/TBTN18/MYS81A1.docx")</f>
        <v>https://docs.wto.org/imrd/directdoc.asp?DDFDocuments/t/G/TBTN18/MYS81A1.docx</v>
      </c>
      <c r="S1194" t="str">
        <f>HYPERLINK("https://docs.wto.org/imrd/directdoc.asp?DDFDocuments/u/G/TBTN18/MYS81A1.docx", "https://docs.wto.org/imrd/directdoc.asp?DDFDocuments/u/G/TBTN18/MYS81A1.docx")</f>
        <v>https://docs.wto.org/imrd/directdoc.asp?DDFDocuments/u/G/TBTN18/MYS81A1.docx</v>
      </c>
      <c r="T1194" t="str">
        <f>HYPERLINK("https://docs.wto.org/imrd/directdoc.asp?DDFDocuments/v/G/TBTN18/MYS81A1.docx", "https://docs.wto.org/imrd/directdoc.asp?DDFDocuments/v/G/TBTN18/MYS81A1.docx")</f>
        <v>https://docs.wto.org/imrd/directdoc.asp?DDFDocuments/v/G/TBTN18/MYS81A1.docx</v>
      </c>
      <c r="U1194" t="s">
        <v>64</v>
      </c>
      <c r="V1194" t="s">
        <v>46</v>
      </c>
      <c r="W1194" t="s">
        <v>46</v>
      </c>
      <c r="X1194" t="s">
        <v>46</v>
      </c>
      <c r="Y1194" t="s">
        <v>46</v>
      </c>
      <c r="Z1194" t="s">
        <v>46</v>
      </c>
      <c r="AA1194" t="s">
        <v>46</v>
      </c>
      <c r="AB1194" s="2" t="s">
        <v>43</v>
      </c>
      <c r="AC1194" t="s">
        <v>43</v>
      </c>
      <c r="AD1194" t="s">
        <v>43</v>
      </c>
      <c r="AE1194" t="s">
        <v>43</v>
      </c>
      <c r="AF1194" t="s">
        <v>43</v>
      </c>
      <c r="AG1194" t="s">
        <v>43</v>
      </c>
      <c r="AH1194" s="2" t="s">
        <v>43</v>
      </c>
    </row>
    <row r="1195" spans="1:34" ht="210">
      <c r="A1195" s="6" t="s">
        <v>146</v>
      </c>
      <c r="B1195" s="7">
        <v>46035</v>
      </c>
      <c r="C1195" s="9" t="str">
        <f>HYPERLINK("https://eping.wto.org/en/Search?viewData= G/TBT/N/CHL/774"," G/TBT/N/CHL/774")</f>
        <v xml:space="preserve"> G/TBT/N/CHL/774</v>
      </c>
      <c r="D1195" s="8" t="s">
        <v>4646</v>
      </c>
      <c r="E1195" s="8" t="s">
        <v>4647</v>
      </c>
      <c r="F1195" s="8" t="s">
        <v>4648</v>
      </c>
      <c r="G1195" s="8" t="s">
        <v>43</v>
      </c>
      <c r="H1195" s="8" t="s">
        <v>453</v>
      </c>
      <c r="I1195" s="8" t="s">
        <v>1891</v>
      </c>
      <c r="J1195" s="8" t="s">
        <v>4649</v>
      </c>
      <c r="K1195" s="8" t="s">
        <v>240</v>
      </c>
      <c r="L1195" s="6"/>
      <c r="M1195" s="7">
        <v>46095</v>
      </c>
      <c r="N1195" s="7" t="s">
        <v>79</v>
      </c>
      <c r="O1195" s="7" t="s">
        <v>79</v>
      </c>
      <c r="P1195" s="6" t="s">
        <v>62</v>
      </c>
      <c r="Q1195" s="8" t="s">
        <v>4650</v>
      </c>
      <c r="R1195" t="str">
        <f>HYPERLINK("https://docs.wto.org/imrd/directdoc.asp?DDFDocuments/t/G/TBTN26/CHL774.docx", "https://docs.wto.org/imrd/directdoc.asp?DDFDocuments/t/G/TBTN26/CHL774.docx")</f>
        <v>https://docs.wto.org/imrd/directdoc.asp?DDFDocuments/t/G/TBTN26/CHL774.docx</v>
      </c>
      <c r="S1195" t="str">
        <f>HYPERLINK("https://docs.wto.org/imrd/directdoc.asp?DDFDocuments/u/G/TBTN26/CHL774.docx", "https://docs.wto.org/imrd/directdoc.asp?DDFDocuments/u/G/TBTN26/CHL774.docx")</f>
        <v>https://docs.wto.org/imrd/directdoc.asp?DDFDocuments/u/G/TBTN26/CHL774.docx</v>
      </c>
      <c r="T1195" t="str">
        <f>HYPERLINK("https://docs.wto.org/imrd/directdoc.asp?DDFDocuments/v/G/TBTN26/CHL774.docx", "https://docs.wto.org/imrd/directdoc.asp?DDFDocuments/v/G/TBTN26/CHL774.docx")</f>
        <v>https://docs.wto.org/imrd/directdoc.asp?DDFDocuments/v/G/TBTN26/CHL774.docx</v>
      </c>
      <c r="U1195" t="s">
        <v>64</v>
      </c>
      <c r="V1195" t="s">
        <v>46</v>
      </c>
      <c r="W1195" t="s">
        <v>46</v>
      </c>
      <c r="X1195" t="s">
        <v>46</v>
      </c>
      <c r="Y1195" t="s">
        <v>46</v>
      </c>
      <c r="Z1195" t="s">
        <v>46</v>
      </c>
      <c r="AA1195" t="s">
        <v>46</v>
      </c>
      <c r="AB1195" s="2" t="s">
        <v>4651</v>
      </c>
      <c r="AC1195" t="s">
        <v>43</v>
      </c>
      <c r="AD1195" t="s">
        <v>43</v>
      </c>
      <c r="AE1195" t="s">
        <v>43</v>
      </c>
      <c r="AF1195" t="s">
        <v>43</v>
      </c>
      <c r="AG1195" t="s">
        <v>43</v>
      </c>
      <c r="AH1195" s="2" t="s">
        <v>43</v>
      </c>
    </row>
    <row r="1196" spans="1:34" ht="105">
      <c r="A1196" s="6" t="s">
        <v>146</v>
      </c>
      <c r="B1196" s="7">
        <v>46035</v>
      </c>
      <c r="C1196" s="9" t="str">
        <f>HYPERLINK("https://eping.wto.org/en/Search?viewData= G/TBT/N/CHL/777"," G/TBT/N/CHL/777")</f>
        <v xml:space="preserve"> G/TBT/N/CHL/777</v>
      </c>
      <c r="D1196" s="8" t="s">
        <v>4652</v>
      </c>
      <c r="E1196" s="8" t="s">
        <v>4653</v>
      </c>
      <c r="F1196" s="8" t="s">
        <v>3215</v>
      </c>
      <c r="G1196" s="8" t="s">
        <v>43</v>
      </c>
      <c r="H1196" s="8" t="s">
        <v>453</v>
      </c>
      <c r="I1196" s="8" t="s">
        <v>275</v>
      </c>
      <c r="J1196" s="8" t="s">
        <v>43</v>
      </c>
      <c r="K1196" s="8" t="s">
        <v>240</v>
      </c>
      <c r="L1196" s="6"/>
      <c r="M1196" s="7">
        <v>46095</v>
      </c>
      <c r="N1196" s="7" t="s">
        <v>79</v>
      </c>
      <c r="O1196" s="7" t="s">
        <v>79</v>
      </c>
      <c r="P1196" s="6" t="s">
        <v>62</v>
      </c>
      <c r="Q1196" s="8" t="s">
        <v>4654</v>
      </c>
      <c r="R1196" t="str">
        <f>HYPERLINK("https://docs.wto.org/imrd/directdoc.asp?DDFDocuments/t/G/TBTN26/CHL777.docx", "https://docs.wto.org/imrd/directdoc.asp?DDFDocuments/t/G/TBTN26/CHL777.docx")</f>
        <v>https://docs.wto.org/imrd/directdoc.asp?DDFDocuments/t/G/TBTN26/CHL777.docx</v>
      </c>
      <c r="S1196" t="str">
        <f>HYPERLINK("https://docs.wto.org/imrd/directdoc.asp?DDFDocuments/u/G/TBTN26/CHL777.docx", "https://docs.wto.org/imrd/directdoc.asp?DDFDocuments/u/G/TBTN26/CHL777.docx")</f>
        <v>https://docs.wto.org/imrd/directdoc.asp?DDFDocuments/u/G/TBTN26/CHL777.docx</v>
      </c>
      <c r="T1196" t="str">
        <f>HYPERLINK("https://docs.wto.org/imrd/directdoc.asp?DDFDocuments/v/G/TBTN26/CHL777.docx", "https://docs.wto.org/imrd/directdoc.asp?DDFDocuments/v/G/TBTN26/CHL777.docx")</f>
        <v>https://docs.wto.org/imrd/directdoc.asp?DDFDocuments/v/G/TBTN26/CHL777.docx</v>
      </c>
      <c r="U1196" t="s">
        <v>64</v>
      </c>
      <c r="V1196" t="s">
        <v>46</v>
      </c>
      <c r="W1196" t="s">
        <v>46</v>
      </c>
      <c r="X1196" t="s">
        <v>46</v>
      </c>
      <c r="Y1196" t="s">
        <v>46</v>
      </c>
      <c r="Z1196" t="s">
        <v>46</v>
      </c>
      <c r="AA1196" t="s">
        <v>46</v>
      </c>
      <c r="AB1196" s="2" t="s">
        <v>4620</v>
      </c>
      <c r="AC1196" t="s">
        <v>43</v>
      </c>
      <c r="AD1196" t="s">
        <v>43</v>
      </c>
      <c r="AE1196" t="s">
        <v>43</v>
      </c>
      <c r="AF1196" t="s">
        <v>43</v>
      </c>
      <c r="AG1196" t="s">
        <v>43</v>
      </c>
      <c r="AH1196" s="2" t="s">
        <v>43</v>
      </c>
    </row>
    <row r="1197" spans="1:34" ht="30">
      <c r="A1197" s="6" t="s">
        <v>577</v>
      </c>
      <c r="B1197" s="7">
        <v>46035</v>
      </c>
      <c r="C1197" s="9" t="str">
        <f>HYPERLINK("https://eping.wto.org/en/Search?viewData= G/TBT/N/BDI/706, G/TBT/N/KEN/1970, G/TBT/N/RWA/1336, G/TBT/N/TZA/1486, G/TBT/N/UGA/2304"," G/TBT/N/BDI/706, G/TBT/N/KEN/1970, G/TBT/N/RWA/1336, G/TBT/N/TZA/1486, G/TBT/N/UGA/2304")</f>
        <v xml:space="preserve"> G/TBT/N/BDI/706, G/TBT/N/KEN/1970, G/TBT/N/RWA/1336, G/TBT/N/TZA/1486, G/TBT/N/UGA/2304</v>
      </c>
      <c r="D1197" s="8" t="s">
        <v>4615</v>
      </c>
      <c r="E1197" s="8" t="s">
        <v>4403</v>
      </c>
      <c r="F1197" s="8" t="s">
        <v>4404</v>
      </c>
      <c r="G1197" s="8" t="s">
        <v>43</v>
      </c>
      <c r="H1197" s="8" t="s">
        <v>4405</v>
      </c>
      <c r="I1197" s="8" t="s">
        <v>2058</v>
      </c>
      <c r="J1197" s="8" t="s">
        <v>43</v>
      </c>
      <c r="K1197" s="8" t="s">
        <v>43</v>
      </c>
      <c r="L1197" s="6"/>
      <c r="M1197" s="7">
        <v>46095</v>
      </c>
      <c r="N1197" s="7" t="s">
        <v>79</v>
      </c>
      <c r="O1197" s="7">
        <v>46112</v>
      </c>
      <c r="P1197" s="6" t="s">
        <v>62</v>
      </c>
      <c r="Q1197" s="8" t="s">
        <v>4616</v>
      </c>
      <c r="R1197" t="str">
        <f>HYPERLINK("https://docs.wto.org/imrd/directdoc.asp?DDFDocuments/t/G/TBTN26/BDI706.docx", "https://docs.wto.org/imrd/directdoc.asp?DDFDocuments/t/G/TBTN26/BDI706.docx")</f>
        <v>https://docs.wto.org/imrd/directdoc.asp?DDFDocuments/t/G/TBTN26/BDI706.docx</v>
      </c>
      <c r="S1197" t="str">
        <f>HYPERLINK("https://docs.wto.org/imrd/directdoc.asp?DDFDocuments/u/G/TBTN26/BDI706.docx", "https://docs.wto.org/imrd/directdoc.asp?DDFDocuments/u/G/TBTN26/BDI706.docx")</f>
        <v>https://docs.wto.org/imrd/directdoc.asp?DDFDocuments/u/G/TBTN26/BDI706.docx</v>
      </c>
      <c r="T1197" t="str">
        <f>HYPERLINK("https://docs.wto.org/imrd/directdoc.asp?DDFDocuments/v/G/TBTN26/BDI706.docx", "https://docs.wto.org/imrd/directdoc.asp?DDFDocuments/v/G/TBTN26/BDI706.docx")</f>
        <v>https://docs.wto.org/imrd/directdoc.asp?DDFDocuments/v/G/TBTN26/BDI706.docx</v>
      </c>
      <c r="U1197" t="s">
        <v>64</v>
      </c>
      <c r="V1197" t="s">
        <v>46</v>
      </c>
      <c r="W1197" t="s">
        <v>46</v>
      </c>
      <c r="X1197" t="s">
        <v>46</v>
      </c>
      <c r="Y1197" t="s">
        <v>46</v>
      </c>
      <c r="Z1197" t="s">
        <v>46</v>
      </c>
      <c r="AA1197" t="s">
        <v>46</v>
      </c>
      <c r="AB1197" s="2" t="s">
        <v>145</v>
      </c>
      <c r="AC1197" t="s">
        <v>43</v>
      </c>
      <c r="AD1197" t="s">
        <v>43</v>
      </c>
      <c r="AE1197" t="s">
        <v>43</v>
      </c>
      <c r="AF1197" t="s">
        <v>43</v>
      </c>
      <c r="AG1197" t="s">
        <v>43</v>
      </c>
      <c r="AH1197" s="2" t="s">
        <v>43</v>
      </c>
    </row>
    <row r="1198" spans="1:34" ht="30">
      <c r="A1198" s="6" t="s">
        <v>108</v>
      </c>
      <c r="B1198" s="7">
        <v>46035</v>
      </c>
      <c r="C1198" s="9" t="str">
        <f>HYPERLINK("https://eping.wto.org/en/Search?viewData= G/TBT/N/BDI/706, G/TBT/N/KEN/1970, G/TBT/N/RWA/1336, G/TBT/N/TZA/1486, G/TBT/N/UGA/2304"," G/TBT/N/BDI/706, G/TBT/N/KEN/1970, G/TBT/N/RWA/1336, G/TBT/N/TZA/1486, G/TBT/N/UGA/2304")</f>
        <v xml:space="preserve"> G/TBT/N/BDI/706, G/TBT/N/KEN/1970, G/TBT/N/RWA/1336, G/TBT/N/TZA/1486, G/TBT/N/UGA/2304</v>
      </c>
      <c r="D1198" s="8" t="s">
        <v>4615</v>
      </c>
      <c r="E1198" s="8" t="s">
        <v>4403</v>
      </c>
      <c r="F1198" s="8" t="s">
        <v>4404</v>
      </c>
      <c r="G1198" s="8" t="s">
        <v>43</v>
      </c>
      <c r="H1198" s="8" t="s">
        <v>4405</v>
      </c>
      <c r="I1198" s="8" t="s">
        <v>2058</v>
      </c>
      <c r="J1198" s="8" t="s">
        <v>43</v>
      </c>
      <c r="K1198" s="8" t="s">
        <v>43</v>
      </c>
      <c r="L1198" s="6"/>
      <c r="M1198" s="7">
        <v>46095</v>
      </c>
      <c r="N1198" s="7" t="s">
        <v>79</v>
      </c>
      <c r="O1198" s="7">
        <v>46112</v>
      </c>
      <c r="P1198" s="6" t="s">
        <v>62</v>
      </c>
      <c r="Q1198" s="8" t="s">
        <v>4616</v>
      </c>
      <c r="R1198" t="str">
        <f>HYPERLINK("https://docs.wto.org/imrd/directdoc.asp?DDFDocuments/t/G/TBTN26/BDI706.docx", "https://docs.wto.org/imrd/directdoc.asp?DDFDocuments/t/G/TBTN26/BDI706.docx")</f>
        <v>https://docs.wto.org/imrd/directdoc.asp?DDFDocuments/t/G/TBTN26/BDI706.docx</v>
      </c>
      <c r="S1198" t="str">
        <f>HYPERLINK("https://docs.wto.org/imrd/directdoc.asp?DDFDocuments/u/G/TBTN26/BDI706.docx", "https://docs.wto.org/imrd/directdoc.asp?DDFDocuments/u/G/TBTN26/BDI706.docx")</f>
        <v>https://docs.wto.org/imrd/directdoc.asp?DDFDocuments/u/G/TBTN26/BDI706.docx</v>
      </c>
      <c r="T1198" t="str">
        <f>HYPERLINK("https://docs.wto.org/imrd/directdoc.asp?DDFDocuments/v/G/TBTN26/BDI706.docx", "https://docs.wto.org/imrd/directdoc.asp?DDFDocuments/v/G/TBTN26/BDI706.docx")</f>
        <v>https://docs.wto.org/imrd/directdoc.asp?DDFDocuments/v/G/TBTN26/BDI706.docx</v>
      </c>
      <c r="U1198" t="s">
        <v>64</v>
      </c>
      <c r="V1198" t="s">
        <v>46</v>
      </c>
      <c r="W1198" t="s">
        <v>46</v>
      </c>
      <c r="X1198" t="s">
        <v>46</v>
      </c>
      <c r="Y1198" t="s">
        <v>46</v>
      </c>
      <c r="Z1198" t="s">
        <v>46</v>
      </c>
      <c r="AA1198" t="s">
        <v>46</v>
      </c>
      <c r="AB1198" s="2" t="s">
        <v>145</v>
      </c>
      <c r="AC1198" t="s">
        <v>43</v>
      </c>
      <c r="AD1198" t="s">
        <v>43</v>
      </c>
      <c r="AE1198" t="s">
        <v>43</v>
      </c>
      <c r="AF1198" t="s">
        <v>43</v>
      </c>
      <c r="AG1198" t="s">
        <v>43</v>
      </c>
      <c r="AH1198" s="2" t="s">
        <v>43</v>
      </c>
    </row>
    <row r="1199" spans="1:34" ht="75">
      <c r="A1199" s="6" t="s">
        <v>509</v>
      </c>
      <c r="B1199" s="7">
        <v>46035</v>
      </c>
      <c r="C1199" s="9" t="str">
        <f>HYPERLINK("https://eping.wto.org/en/Search?viewData= G/TBT/N/UGA/2305"," G/TBT/N/UGA/2305")</f>
        <v xml:space="preserve"> G/TBT/N/UGA/2305</v>
      </c>
      <c r="D1199" s="8" t="s">
        <v>4655</v>
      </c>
      <c r="E1199" s="8" t="s">
        <v>4656</v>
      </c>
      <c r="F1199" s="8" t="s">
        <v>4657</v>
      </c>
      <c r="G1199" s="8" t="s">
        <v>4658</v>
      </c>
      <c r="H1199" s="8" t="s">
        <v>4659</v>
      </c>
      <c r="I1199" s="8" t="s">
        <v>4660</v>
      </c>
      <c r="J1199" s="8" t="s">
        <v>43</v>
      </c>
      <c r="K1199" s="8" t="s">
        <v>43</v>
      </c>
      <c r="L1199" s="6"/>
      <c r="M1199" s="7">
        <v>46095</v>
      </c>
      <c r="N1199" s="7" t="s">
        <v>79</v>
      </c>
      <c r="O1199" s="7" t="s">
        <v>79</v>
      </c>
      <c r="P1199" s="6" t="s">
        <v>62</v>
      </c>
      <c r="Q1199" s="8" t="s">
        <v>4661</v>
      </c>
      <c r="R1199" t="str">
        <f>HYPERLINK("https://docs.wto.org/imrd/directdoc.asp?DDFDocuments/t/G/TBTN26/UGA2305.docx", "https://docs.wto.org/imrd/directdoc.asp?DDFDocuments/t/G/TBTN26/UGA2305.docx")</f>
        <v>https://docs.wto.org/imrd/directdoc.asp?DDFDocuments/t/G/TBTN26/UGA2305.docx</v>
      </c>
      <c r="S1199" t="str">
        <f>HYPERLINK("https://docs.wto.org/imrd/directdoc.asp?DDFDocuments/u/G/TBTN26/UGA2305.docx", "https://docs.wto.org/imrd/directdoc.asp?DDFDocuments/u/G/TBTN26/UGA2305.docx")</f>
        <v>https://docs.wto.org/imrd/directdoc.asp?DDFDocuments/u/G/TBTN26/UGA2305.docx</v>
      </c>
      <c r="T1199" t="str">
        <f>HYPERLINK("https://docs.wto.org/imrd/directdoc.asp?DDFDocuments/v/G/TBTN26/UGA2305.docx", "https://docs.wto.org/imrd/directdoc.asp?DDFDocuments/v/G/TBTN26/UGA2305.docx")</f>
        <v>https://docs.wto.org/imrd/directdoc.asp?DDFDocuments/v/G/TBTN26/UGA2305.docx</v>
      </c>
      <c r="U1199" t="s">
        <v>64</v>
      </c>
      <c r="V1199" t="s">
        <v>46</v>
      </c>
      <c r="W1199" t="s">
        <v>64</v>
      </c>
      <c r="X1199" t="s">
        <v>46</v>
      </c>
      <c r="Y1199" t="s">
        <v>46</v>
      </c>
      <c r="Z1199" t="s">
        <v>46</v>
      </c>
      <c r="AA1199" t="s">
        <v>46</v>
      </c>
      <c r="AB1199" s="2" t="s">
        <v>4662</v>
      </c>
      <c r="AC1199" t="s">
        <v>43</v>
      </c>
      <c r="AD1199" t="s">
        <v>43</v>
      </c>
      <c r="AE1199" t="s">
        <v>43</v>
      </c>
      <c r="AF1199" t="s">
        <v>43</v>
      </c>
      <c r="AG1199" t="s">
        <v>43</v>
      </c>
      <c r="AH1199" s="2" t="s">
        <v>43</v>
      </c>
    </row>
    <row r="1200" spans="1:34" ht="75">
      <c r="A1200" s="6" t="s">
        <v>146</v>
      </c>
      <c r="B1200" s="7">
        <v>46035</v>
      </c>
      <c r="C1200" s="9" t="str">
        <f>HYPERLINK("https://eping.wto.org/en/Search?viewData= G/SPS/N/CHL/872"," G/SPS/N/CHL/872")</f>
        <v xml:space="preserve"> G/SPS/N/CHL/872</v>
      </c>
      <c r="D1200" s="8" t="s">
        <v>4663</v>
      </c>
      <c r="E1200" s="8" t="s">
        <v>4664</v>
      </c>
      <c r="F1200" s="8" t="s">
        <v>4665</v>
      </c>
      <c r="G1200" s="8" t="s">
        <v>43</v>
      </c>
      <c r="H1200" s="8" t="s">
        <v>43</v>
      </c>
      <c r="I1200" s="8" t="s">
        <v>254</v>
      </c>
      <c r="J1200" s="8" t="s">
        <v>43</v>
      </c>
      <c r="K1200" s="8" t="s">
        <v>302</v>
      </c>
      <c r="L1200" s="6" t="s">
        <v>356</v>
      </c>
      <c r="M1200" s="7">
        <v>46095</v>
      </c>
      <c r="N1200" s="7" t="s">
        <v>3219</v>
      </c>
      <c r="O1200" s="7" t="s">
        <v>3219</v>
      </c>
      <c r="P1200" s="6" t="s">
        <v>62</v>
      </c>
      <c r="Q1200" s="8" t="s">
        <v>4666</v>
      </c>
      <c r="R1200" t="str">
        <f>HYPERLINK("https://docs.wto.org/imrd/directdoc.asp?DDFDocuments/t/G/SPS/NCHL872.docx", "https://docs.wto.org/imrd/directdoc.asp?DDFDocuments/t/G/SPS/NCHL872.docx")</f>
        <v>https://docs.wto.org/imrd/directdoc.asp?DDFDocuments/t/G/SPS/NCHL872.docx</v>
      </c>
      <c r="S1200" t="str">
        <f>HYPERLINK("https://docs.wto.org/imrd/directdoc.asp?DDFDocuments/u/G/SPS/NCHL872.docx", "https://docs.wto.org/imrd/directdoc.asp?DDFDocuments/u/G/SPS/NCHL872.docx")</f>
        <v>https://docs.wto.org/imrd/directdoc.asp?DDFDocuments/u/G/SPS/NCHL872.docx</v>
      </c>
      <c r="T1200" t="str">
        <f>HYPERLINK("https://docs.wto.org/imrd/directdoc.asp?DDFDocuments/v/G/SPS/NCHL872.docx", "https://docs.wto.org/imrd/directdoc.asp?DDFDocuments/v/G/SPS/NCHL872.docx")</f>
        <v>https://docs.wto.org/imrd/directdoc.asp?DDFDocuments/v/G/SPS/NCHL872.docx</v>
      </c>
      <c r="U1200" t="s">
        <v>43</v>
      </c>
      <c r="V1200" t="s">
        <v>43</v>
      </c>
      <c r="W1200" t="s">
        <v>43</v>
      </c>
      <c r="X1200" t="s">
        <v>43</v>
      </c>
      <c r="Y1200" t="s">
        <v>43</v>
      </c>
      <c r="Z1200" t="s">
        <v>43</v>
      </c>
      <c r="AA1200" t="s">
        <v>43</v>
      </c>
      <c r="AB1200" s="2" t="s">
        <v>43</v>
      </c>
      <c r="AC1200" t="s">
        <v>46</v>
      </c>
      <c r="AD1200" t="s">
        <v>46</v>
      </c>
      <c r="AE1200" t="s">
        <v>64</v>
      </c>
      <c r="AF1200" t="s">
        <v>46</v>
      </c>
      <c r="AG1200" t="s">
        <v>64</v>
      </c>
      <c r="AH1200" s="2" t="s">
        <v>43</v>
      </c>
    </row>
    <row r="1201" spans="1:34" ht="30">
      <c r="A1201" s="6" t="s">
        <v>390</v>
      </c>
      <c r="B1201" s="7">
        <v>46035</v>
      </c>
      <c r="C1201" s="9" t="str">
        <f>HYPERLINK("https://eping.wto.org/en/Search?viewData= G/TBT/N/BDI/706, G/TBT/N/KEN/1970, G/TBT/N/RWA/1336, G/TBT/N/TZA/1486, G/TBT/N/UGA/2304"," G/TBT/N/BDI/706, G/TBT/N/KEN/1970, G/TBT/N/RWA/1336, G/TBT/N/TZA/1486, G/TBT/N/UGA/2304")</f>
        <v xml:space="preserve"> G/TBT/N/BDI/706, G/TBT/N/KEN/1970, G/TBT/N/RWA/1336, G/TBT/N/TZA/1486, G/TBT/N/UGA/2304</v>
      </c>
      <c r="D1201" s="8" t="s">
        <v>4615</v>
      </c>
      <c r="E1201" s="8" t="s">
        <v>4403</v>
      </c>
      <c r="F1201" s="8" t="s">
        <v>4404</v>
      </c>
      <c r="G1201" s="8" t="s">
        <v>43</v>
      </c>
      <c r="H1201" s="8" t="s">
        <v>4405</v>
      </c>
      <c r="I1201" s="8" t="s">
        <v>2058</v>
      </c>
      <c r="J1201" s="8" t="s">
        <v>43</v>
      </c>
      <c r="K1201" s="8" t="s">
        <v>43</v>
      </c>
      <c r="L1201" s="6"/>
      <c r="M1201" s="7">
        <v>46095</v>
      </c>
      <c r="N1201" s="7" t="s">
        <v>79</v>
      </c>
      <c r="O1201" s="7">
        <v>46112</v>
      </c>
      <c r="P1201" s="6" t="s">
        <v>62</v>
      </c>
      <c r="Q1201" s="8" t="s">
        <v>4616</v>
      </c>
      <c r="R1201" t="str">
        <f>HYPERLINK("https://docs.wto.org/imrd/directdoc.asp?DDFDocuments/t/G/TBTN26/BDI706.docx", "https://docs.wto.org/imrd/directdoc.asp?DDFDocuments/t/G/TBTN26/BDI706.docx")</f>
        <v>https://docs.wto.org/imrd/directdoc.asp?DDFDocuments/t/G/TBTN26/BDI706.docx</v>
      </c>
      <c r="S1201" t="str">
        <f>HYPERLINK("https://docs.wto.org/imrd/directdoc.asp?DDFDocuments/u/G/TBTN26/BDI706.docx", "https://docs.wto.org/imrd/directdoc.asp?DDFDocuments/u/G/TBTN26/BDI706.docx")</f>
        <v>https://docs.wto.org/imrd/directdoc.asp?DDFDocuments/u/G/TBTN26/BDI706.docx</v>
      </c>
      <c r="T1201" t="str">
        <f>HYPERLINK("https://docs.wto.org/imrd/directdoc.asp?DDFDocuments/v/G/TBTN26/BDI706.docx", "https://docs.wto.org/imrd/directdoc.asp?DDFDocuments/v/G/TBTN26/BDI706.docx")</f>
        <v>https://docs.wto.org/imrd/directdoc.asp?DDFDocuments/v/G/TBTN26/BDI706.docx</v>
      </c>
      <c r="U1201" t="s">
        <v>64</v>
      </c>
      <c r="V1201" t="s">
        <v>46</v>
      </c>
      <c r="W1201" t="s">
        <v>46</v>
      </c>
      <c r="X1201" t="s">
        <v>46</v>
      </c>
      <c r="Y1201" t="s">
        <v>46</v>
      </c>
      <c r="Z1201" t="s">
        <v>46</v>
      </c>
      <c r="AA1201" t="s">
        <v>46</v>
      </c>
      <c r="AB1201" s="2" t="s">
        <v>145</v>
      </c>
      <c r="AC1201" t="s">
        <v>43</v>
      </c>
      <c r="AD1201" t="s">
        <v>43</v>
      </c>
      <c r="AE1201" t="s">
        <v>43</v>
      </c>
      <c r="AF1201" t="s">
        <v>43</v>
      </c>
      <c r="AG1201" t="s">
        <v>43</v>
      </c>
      <c r="AH1201" s="2" t="s">
        <v>43</v>
      </c>
    </row>
    <row r="1202" spans="1:34" ht="105">
      <c r="A1202" s="6" t="s">
        <v>185</v>
      </c>
      <c r="B1202" s="7">
        <v>46034</v>
      </c>
      <c r="C1202" s="9" t="str">
        <f>HYPERLINK("https://eping.wto.org/en/Search?viewData= G/TBT/N/CHN/2182"," G/TBT/N/CHN/2182")</f>
        <v xml:space="preserve"> G/TBT/N/CHN/2182</v>
      </c>
      <c r="D1202" s="8" t="s">
        <v>4667</v>
      </c>
      <c r="E1202" s="8" t="s">
        <v>4668</v>
      </c>
      <c r="F1202" s="8" t="s">
        <v>4669</v>
      </c>
      <c r="G1202" s="8" t="s">
        <v>4670</v>
      </c>
      <c r="H1202" s="8" t="s">
        <v>4671</v>
      </c>
      <c r="I1202" s="8" t="s">
        <v>4598</v>
      </c>
      <c r="J1202" s="8" t="s">
        <v>43</v>
      </c>
      <c r="K1202" s="8" t="s">
        <v>43</v>
      </c>
      <c r="L1202" s="6"/>
      <c r="M1202" s="7">
        <v>46094</v>
      </c>
      <c r="N1202" s="7" t="s">
        <v>79</v>
      </c>
      <c r="O1202" s="7" t="s">
        <v>4672</v>
      </c>
      <c r="P1202" s="6" t="s">
        <v>62</v>
      </c>
      <c r="Q1202" s="8" t="s">
        <v>4673</v>
      </c>
      <c r="R1202" t="str">
        <f>HYPERLINK("https://docs.wto.org/imrd/directdoc.asp?DDFDocuments/t/G/TBTN26/CHN2182.docx", "https://docs.wto.org/imrd/directdoc.asp?DDFDocuments/t/G/TBTN26/CHN2182.docx")</f>
        <v>https://docs.wto.org/imrd/directdoc.asp?DDFDocuments/t/G/TBTN26/CHN2182.docx</v>
      </c>
      <c r="S1202" t="str">
        <f>HYPERLINK("https://docs.wto.org/imrd/directdoc.asp?DDFDocuments/u/G/TBTN26/CHN2182.docx", "https://docs.wto.org/imrd/directdoc.asp?DDFDocuments/u/G/TBTN26/CHN2182.docx")</f>
        <v>https://docs.wto.org/imrd/directdoc.asp?DDFDocuments/u/G/TBTN26/CHN2182.docx</v>
      </c>
      <c r="T1202" t="str">
        <f>HYPERLINK("https://docs.wto.org/imrd/directdoc.asp?DDFDocuments/v/G/TBTN26/CHN2182.docx", "https://docs.wto.org/imrd/directdoc.asp?DDFDocuments/v/G/TBTN26/CHN2182.docx")</f>
        <v>https://docs.wto.org/imrd/directdoc.asp?DDFDocuments/v/G/TBTN26/CHN2182.docx</v>
      </c>
      <c r="U1202" t="s">
        <v>64</v>
      </c>
      <c r="V1202" t="s">
        <v>46</v>
      </c>
      <c r="W1202" t="s">
        <v>46</v>
      </c>
      <c r="X1202" t="s">
        <v>46</v>
      </c>
      <c r="Y1202" t="s">
        <v>46</v>
      </c>
      <c r="Z1202" t="s">
        <v>46</v>
      </c>
      <c r="AA1202" t="s">
        <v>46</v>
      </c>
      <c r="AB1202" s="2" t="s">
        <v>43</v>
      </c>
      <c r="AC1202" t="s">
        <v>43</v>
      </c>
      <c r="AD1202" t="s">
        <v>43</v>
      </c>
      <c r="AE1202" t="s">
        <v>43</v>
      </c>
      <c r="AF1202" t="s">
        <v>43</v>
      </c>
      <c r="AG1202" t="s">
        <v>43</v>
      </c>
      <c r="AH1202" s="2" t="s">
        <v>43</v>
      </c>
    </row>
    <row r="1203" spans="1:34" ht="60">
      <c r="A1203" s="6" t="s">
        <v>303</v>
      </c>
      <c r="B1203" s="7">
        <v>46034</v>
      </c>
      <c r="C1203" s="9" t="str">
        <f>HYPERLINK("https://eping.wto.org/en/Search?viewData= G/SPS/N/KOR/838"," G/SPS/N/KOR/838")</f>
        <v xml:space="preserve"> G/SPS/N/KOR/838</v>
      </c>
      <c r="D1203" s="8" t="s">
        <v>4674</v>
      </c>
      <c r="E1203" s="8" t="s">
        <v>4675</v>
      </c>
      <c r="F1203" s="8" t="s">
        <v>4676</v>
      </c>
      <c r="G1203" s="8" t="s">
        <v>43</v>
      </c>
      <c r="H1203" s="8" t="s">
        <v>43</v>
      </c>
      <c r="I1203" s="8" t="s">
        <v>58</v>
      </c>
      <c r="J1203" s="8" t="s">
        <v>43</v>
      </c>
      <c r="K1203" s="8" t="s">
        <v>310</v>
      </c>
      <c r="L1203" s="6" t="s">
        <v>43</v>
      </c>
      <c r="M1203" s="7">
        <v>46094</v>
      </c>
      <c r="N1203" s="7" t="s">
        <v>304</v>
      </c>
      <c r="O1203" s="7" t="s">
        <v>304</v>
      </c>
      <c r="P1203" s="6" t="s">
        <v>62</v>
      </c>
      <c r="Q1203" s="8" t="s">
        <v>4677</v>
      </c>
      <c r="R1203" t="str">
        <f>HYPERLINK("https://docs.wto.org/imrd/directdoc.asp?DDFDocuments/t/G/SPS/NKOR838.docx", "https://docs.wto.org/imrd/directdoc.asp?DDFDocuments/t/G/SPS/NKOR838.docx")</f>
        <v>https://docs.wto.org/imrd/directdoc.asp?DDFDocuments/t/G/SPS/NKOR838.docx</v>
      </c>
      <c r="S1203" t="str">
        <f>HYPERLINK("https://docs.wto.org/imrd/directdoc.asp?DDFDocuments/u/G/SPS/NKOR838.docx", "https://docs.wto.org/imrd/directdoc.asp?DDFDocuments/u/G/SPS/NKOR838.docx")</f>
        <v>https://docs.wto.org/imrd/directdoc.asp?DDFDocuments/u/G/SPS/NKOR838.docx</v>
      </c>
      <c r="T1203" t="str">
        <f>HYPERLINK("https://docs.wto.org/imrd/directdoc.asp?DDFDocuments/v/G/SPS/NKOR838.docx", "https://docs.wto.org/imrd/directdoc.asp?DDFDocuments/v/G/SPS/NKOR838.docx")</f>
        <v>https://docs.wto.org/imrd/directdoc.asp?DDFDocuments/v/G/SPS/NKOR838.docx</v>
      </c>
      <c r="U1203" t="s">
        <v>43</v>
      </c>
      <c r="V1203" t="s">
        <v>43</v>
      </c>
      <c r="W1203" t="s">
        <v>43</v>
      </c>
      <c r="X1203" t="s">
        <v>43</v>
      </c>
      <c r="Y1203" t="s">
        <v>43</v>
      </c>
      <c r="Z1203" t="s">
        <v>43</v>
      </c>
      <c r="AA1203" t="s">
        <v>43</v>
      </c>
      <c r="AB1203" s="2" t="s">
        <v>43</v>
      </c>
      <c r="AC1203" t="s">
        <v>46</v>
      </c>
      <c r="AD1203" t="s">
        <v>46</v>
      </c>
      <c r="AE1203" t="s">
        <v>46</v>
      </c>
      <c r="AF1203" t="s">
        <v>64</v>
      </c>
      <c r="AG1203" t="s">
        <v>99</v>
      </c>
      <c r="AH1203" s="2" t="s">
        <v>43</v>
      </c>
    </row>
    <row r="1204" spans="1:34" ht="60">
      <c r="A1204" s="6" t="s">
        <v>185</v>
      </c>
      <c r="B1204" s="7">
        <v>46034</v>
      </c>
      <c r="C1204" s="9" t="str">
        <f>HYPERLINK("https://eping.wto.org/en/Search?viewData= G/TBT/N/CHN/2187"," G/TBT/N/CHN/2187")</f>
        <v xml:space="preserve"> G/TBT/N/CHN/2187</v>
      </c>
      <c r="D1204" s="8" t="s">
        <v>4678</v>
      </c>
      <c r="E1204" s="8" t="s">
        <v>4679</v>
      </c>
      <c r="F1204" s="8" t="s">
        <v>4680</v>
      </c>
      <c r="G1204" s="8" t="s">
        <v>4681</v>
      </c>
      <c r="H1204" s="8" t="s">
        <v>501</v>
      </c>
      <c r="I1204" s="8" t="s">
        <v>1897</v>
      </c>
      <c r="J1204" s="8" t="s">
        <v>43</v>
      </c>
      <c r="K1204" s="8" t="s">
        <v>43</v>
      </c>
      <c r="L1204" s="6"/>
      <c r="M1204" s="7">
        <v>46094</v>
      </c>
      <c r="N1204" s="7" t="s">
        <v>79</v>
      </c>
      <c r="O1204" s="7" t="s">
        <v>192</v>
      </c>
      <c r="P1204" s="6" t="s">
        <v>62</v>
      </c>
      <c r="Q1204" s="8" t="s">
        <v>4682</v>
      </c>
      <c r="R1204" t="str">
        <f>HYPERLINK("https://docs.wto.org/imrd/directdoc.asp?DDFDocuments/t/G/TBTN26/CHN2187.docx", "https://docs.wto.org/imrd/directdoc.asp?DDFDocuments/t/G/TBTN26/CHN2187.docx")</f>
        <v>https://docs.wto.org/imrd/directdoc.asp?DDFDocuments/t/G/TBTN26/CHN2187.docx</v>
      </c>
      <c r="S1204" t="str">
        <f>HYPERLINK("https://docs.wto.org/imrd/directdoc.asp?DDFDocuments/u/G/TBTN26/CHN2187.docx", "https://docs.wto.org/imrd/directdoc.asp?DDFDocuments/u/G/TBTN26/CHN2187.docx")</f>
        <v>https://docs.wto.org/imrd/directdoc.asp?DDFDocuments/u/G/TBTN26/CHN2187.docx</v>
      </c>
      <c r="T1204" t="str">
        <f>HYPERLINK("https://docs.wto.org/imrd/directdoc.asp?DDFDocuments/v/G/TBTN26/CHN2187.docx", "https://docs.wto.org/imrd/directdoc.asp?DDFDocuments/v/G/TBTN26/CHN2187.docx")</f>
        <v>https://docs.wto.org/imrd/directdoc.asp?DDFDocuments/v/G/TBTN26/CHN2187.docx</v>
      </c>
      <c r="U1204" t="s">
        <v>64</v>
      </c>
      <c r="V1204" t="s">
        <v>46</v>
      </c>
      <c r="W1204" t="s">
        <v>46</v>
      </c>
      <c r="X1204" t="s">
        <v>46</v>
      </c>
      <c r="Y1204" t="s">
        <v>46</v>
      </c>
      <c r="Z1204" t="s">
        <v>46</v>
      </c>
      <c r="AA1204" t="s">
        <v>46</v>
      </c>
      <c r="AB1204" s="2" t="s">
        <v>43</v>
      </c>
      <c r="AC1204" t="s">
        <v>43</v>
      </c>
      <c r="AD1204" t="s">
        <v>43</v>
      </c>
      <c r="AE1204" t="s">
        <v>43</v>
      </c>
      <c r="AF1204" t="s">
        <v>43</v>
      </c>
      <c r="AG1204" t="s">
        <v>43</v>
      </c>
      <c r="AH1204" s="2" t="s">
        <v>43</v>
      </c>
    </row>
    <row r="1205" spans="1:34" ht="60">
      <c r="A1205" s="6" t="s">
        <v>146</v>
      </c>
      <c r="B1205" s="7">
        <v>46034</v>
      </c>
      <c r="C1205" s="9" t="str">
        <f>HYPERLINK("https://eping.wto.org/en/Search?viewData= G/TBT/N/CHL/675/Add.3"," G/TBT/N/CHL/675/Add.3")</f>
        <v xml:space="preserve"> G/TBT/N/CHL/675/Add.3</v>
      </c>
      <c r="D1205" s="8" t="s">
        <v>1473</v>
      </c>
      <c r="E1205" s="8" t="s">
        <v>4683</v>
      </c>
      <c r="F1205" s="8" t="s">
        <v>1475</v>
      </c>
      <c r="G1205" s="8" t="s">
        <v>43</v>
      </c>
      <c r="H1205" s="8" t="s">
        <v>1476</v>
      </c>
      <c r="I1205" s="8" t="s">
        <v>1477</v>
      </c>
      <c r="J1205" s="8" t="s">
        <v>1478</v>
      </c>
      <c r="K1205" s="8" t="s">
        <v>43</v>
      </c>
      <c r="L1205" s="6"/>
      <c r="M1205" s="7" t="s">
        <v>43</v>
      </c>
      <c r="N1205" s="7"/>
      <c r="O1205" s="7"/>
      <c r="P1205" s="6" t="s">
        <v>44</v>
      </c>
      <c r="Q1205" s="8" t="s">
        <v>4684</v>
      </c>
      <c r="R1205" t="str">
        <f>HYPERLINK("https://docs.wto.org/imrd/directdoc.asp?DDFDocuments/t/G/TBTN24/CHL675A3.docx", "https://docs.wto.org/imrd/directdoc.asp?DDFDocuments/t/G/TBTN24/CHL675A3.docx")</f>
        <v>https://docs.wto.org/imrd/directdoc.asp?DDFDocuments/t/G/TBTN24/CHL675A3.docx</v>
      </c>
      <c r="S1205" t="str">
        <f>HYPERLINK("https://docs.wto.org/imrd/directdoc.asp?DDFDocuments/u/G/TBTN24/CHL675A3.docx", "https://docs.wto.org/imrd/directdoc.asp?DDFDocuments/u/G/TBTN24/CHL675A3.docx")</f>
        <v>https://docs.wto.org/imrd/directdoc.asp?DDFDocuments/u/G/TBTN24/CHL675A3.docx</v>
      </c>
      <c r="T1205" t="str">
        <f>HYPERLINK("https://docs.wto.org/imrd/directdoc.asp?DDFDocuments/v/G/TBTN24/CHL675A3.docx", "https://docs.wto.org/imrd/directdoc.asp?DDFDocuments/v/G/TBTN24/CHL675A3.docx")</f>
        <v>https://docs.wto.org/imrd/directdoc.asp?DDFDocuments/v/G/TBTN24/CHL675A3.docx</v>
      </c>
      <c r="U1205" t="s">
        <v>64</v>
      </c>
      <c r="V1205" t="s">
        <v>46</v>
      </c>
      <c r="W1205" t="s">
        <v>46</v>
      </c>
      <c r="X1205" t="s">
        <v>46</v>
      </c>
      <c r="Y1205" t="s">
        <v>46</v>
      </c>
      <c r="Z1205" t="s">
        <v>46</v>
      </c>
      <c r="AA1205" t="s">
        <v>46</v>
      </c>
      <c r="AB1205" s="2" t="s">
        <v>43</v>
      </c>
      <c r="AC1205" t="s">
        <v>43</v>
      </c>
      <c r="AD1205" t="s">
        <v>43</v>
      </c>
      <c r="AE1205" t="s">
        <v>43</v>
      </c>
      <c r="AF1205" t="s">
        <v>43</v>
      </c>
      <c r="AG1205" t="s">
        <v>43</v>
      </c>
      <c r="AH1205" s="2" t="s">
        <v>43</v>
      </c>
    </row>
    <row r="1206" spans="1:34" ht="60">
      <c r="A1206" s="6" t="s">
        <v>185</v>
      </c>
      <c r="B1206" s="7">
        <v>46034</v>
      </c>
      <c r="C1206" s="9" t="str">
        <f>HYPERLINK("https://eping.wto.org/en/Search?viewData= G/TBT/N/CHN/2184"," G/TBT/N/CHN/2184")</f>
        <v xml:space="preserve"> G/TBT/N/CHN/2184</v>
      </c>
      <c r="D1206" s="8" t="s">
        <v>4685</v>
      </c>
      <c r="E1206" s="8" t="s">
        <v>4686</v>
      </c>
      <c r="F1206" s="8" t="s">
        <v>4687</v>
      </c>
      <c r="G1206" s="8" t="s">
        <v>4681</v>
      </c>
      <c r="H1206" s="8" t="s">
        <v>501</v>
      </c>
      <c r="I1206" s="8" t="s">
        <v>1897</v>
      </c>
      <c r="J1206" s="8" t="s">
        <v>43</v>
      </c>
      <c r="K1206" s="8" t="s">
        <v>43</v>
      </c>
      <c r="L1206" s="6"/>
      <c r="M1206" s="7">
        <v>46094</v>
      </c>
      <c r="N1206" s="7" t="s">
        <v>79</v>
      </c>
      <c r="O1206" s="7" t="s">
        <v>192</v>
      </c>
      <c r="P1206" s="6" t="s">
        <v>62</v>
      </c>
      <c r="Q1206" s="8" t="s">
        <v>4688</v>
      </c>
      <c r="R1206" t="str">
        <f>HYPERLINK("https://docs.wto.org/imrd/directdoc.asp?DDFDocuments/t/G/TBTN26/CHN2184.docx", "https://docs.wto.org/imrd/directdoc.asp?DDFDocuments/t/G/TBTN26/CHN2184.docx")</f>
        <v>https://docs.wto.org/imrd/directdoc.asp?DDFDocuments/t/G/TBTN26/CHN2184.docx</v>
      </c>
      <c r="S1206" t="str">
        <f>HYPERLINK("https://docs.wto.org/imrd/directdoc.asp?DDFDocuments/u/G/TBTN26/CHN2184.docx", "https://docs.wto.org/imrd/directdoc.asp?DDFDocuments/u/G/TBTN26/CHN2184.docx")</f>
        <v>https://docs.wto.org/imrd/directdoc.asp?DDFDocuments/u/G/TBTN26/CHN2184.docx</v>
      </c>
      <c r="T1206" t="str">
        <f>HYPERLINK("https://docs.wto.org/imrd/directdoc.asp?DDFDocuments/v/G/TBTN26/CHN2184.docx", "https://docs.wto.org/imrd/directdoc.asp?DDFDocuments/v/G/TBTN26/CHN2184.docx")</f>
        <v>https://docs.wto.org/imrd/directdoc.asp?DDFDocuments/v/G/TBTN26/CHN2184.docx</v>
      </c>
      <c r="U1206" t="s">
        <v>64</v>
      </c>
      <c r="V1206" t="s">
        <v>46</v>
      </c>
      <c r="W1206" t="s">
        <v>46</v>
      </c>
      <c r="X1206" t="s">
        <v>46</v>
      </c>
      <c r="Y1206" t="s">
        <v>46</v>
      </c>
      <c r="Z1206" t="s">
        <v>46</v>
      </c>
      <c r="AA1206" t="s">
        <v>46</v>
      </c>
      <c r="AB1206" s="2" t="s">
        <v>43</v>
      </c>
      <c r="AC1206" t="s">
        <v>43</v>
      </c>
      <c r="AD1206" t="s">
        <v>43</v>
      </c>
      <c r="AE1206" t="s">
        <v>43</v>
      </c>
      <c r="AF1206" t="s">
        <v>43</v>
      </c>
      <c r="AG1206" t="s">
        <v>43</v>
      </c>
      <c r="AH1206" s="2" t="s">
        <v>43</v>
      </c>
    </row>
    <row r="1207" spans="1:34" ht="409.5">
      <c r="A1207" s="6" t="s">
        <v>146</v>
      </c>
      <c r="B1207" s="7">
        <v>46034</v>
      </c>
      <c r="C1207" s="9" t="str">
        <f>HYPERLINK("https://eping.wto.org/en/Search?viewData= G/TBT/N/CHL/705/Rev.1"," G/TBT/N/CHL/705/Rev.1")</f>
        <v xml:space="preserve"> G/TBT/N/CHL/705/Rev.1</v>
      </c>
      <c r="D1207" s="8" t="s">
        <v>4689</v>
      </c>
      <c r="E1207" s="8" t="s">
        <v>4690</v>
      </c>
      <c r="F1207" s="8" t="s">
        <v>4691</v>
      </c>
      <c r="G1207" s="8" t="s">
        <v>4692</v>
      </c>
      <c r="H1207" s="8" t="s">
        <v>1890</v>
      </c>
      <c r="I1207" s="8" t="s">
        <v>295</v>
      </c>
      <c r="J1207" s="8" t="s">
        <v>43</v>
      </c>
      <c r="K1207" s="8" t="s">
        <v>43</v>
      </c>
      <c r="L1207" s="6"/>
      <c r="M1207" s="7">
        <v>46094</v>
      </c>
      <c r="N1207" s="7" t="s">
        <v>4606</v>
      </c>
      <c r="O1207" s="7" t="s">
        <v>4693</v>
      </c>
      <c r="P1207" s="6" t="s">
        <v>138</v>
      </c>
      <c r="Q1207" s="8" t="s">
        <v>4694</v>
      </c>
      <c r="R1207" t="str">
        <f>HYPERLINK("https://docs.wto.org/imrd/directdoc.asp?DDFDocuments/t/G/TBTN24/CHL705R1.docx", "https://docs.wto.org/imrd/directdoc.asp?DDFDocuments/t/G/TBTN24/CHL705R1.docx")</f>
        <v>https://docs.wto.org/imrd/directdoc.asp?DDFDocuments/t/G/TBTN24/CHL705R1.docx</v>
      </c>
      <c r="S1207" t="str">
        <f>HYPERLINK("https://docs.wto.org/imrd/directdoc.asp?DDFDocuments/u/G/TBTN24/CHL705R1.docx", "https://docs.wto.org/imrd/directdoc.asp?DDFDocuments/u/G/TBTN24/CHL705R1.docx")</f>
        <v>https://docs.wto.org/imrd/directdoc.asp?DDFDocuments/u/G/TBTN24/CHL705R1.docx</v>
      </c>
      <c r="T1207" t="str">
        <f>HYPERLINK("https://docs.wto.org/imrd/directdoc.asp?DDFDocuments/v/G/TBTN24/CHL705R1.docx", "https://docs.wto.org/imrd/directdoc.asp?DDFDocuments/v/G/TBTN24/CHL705R1.docx")</f>
        <v>https://docs.wto.org/imrd/directdoc.asp?DDFDocuments/v/G/TBTN24/CHL705R1.docx</v>
      </c>
      <c r="U1207" t="s">
        <v>64</v>
      </c>
      <c r="V1207" t="s">
        <v>46</v>
      </c>
      <c r="W1207" t="s">
        <v>46</v>
      </c>
      <c r="X1207" t="s">
        <v>46</v>
      </c>
      <c r="Y1207" t="s">
        <v>46</v>
      </c>
      <c r="Z1207" t="s">
        <v>46</v>
      </c>
      <c r="AA1207" t="s">
        <v>46</v>
      </c>
      <c r="AB1207" s="2" t="s">
        <v>4695</v>
      </c>
      <c r="AC1207" t="s">
        <v>43</v>
      </c>
      <c r="AD1207" t="s">
        <v>43</v>
      </c>
      <c r="AE1207" t="s">
        <v>43</v>
      </c>
      <c r="AF1207" t="s">
        <v>43</v>
      </c>
      <c r="AG1207" t="s">
        <v>43</v>
      </c>
      <c r="AH1207" s="2" t="s">
        <v>43</v>
      </c>
    </row>
    <row r="1208" spans="1:34" ht="60">
      <c r="A1208" s="6" t="s">
        <v>303</v>
      </c>
      <c r="B1208" s="7">
        <v>46034</v>
      </c>
      <c r="C1208" s="9" t="str">
        <f>HYPERLINK("https://eping.wto.org/en/Search?viewData= G/SPS/N/KOR/837"," G/SPS/N/KOR/837")</f>
        <v xml:space="preserve"> G/SPS/N/KOR/837</v>
      </c>
      <c r="D1208" s="8" t="s">
        <v>4696</v>
      </c>
      <c r="E1208" s="8" t="s">
        <v>4697</v>
      </c>
      <c r="F1208" s="8" t="s">
        <v>1370</v>
      </c>
      <c r="G1208" s="8" t="s">
        <v>43</v>
      </c>
      <c r="H1208" s="8" t="s">
        <v>43</v>
      </c>
      <c r="I1208" s="8" t="s">
        <v>58</v>
      </c>
      <c r="J1208" s="8" t="s">
        <v>43</v>
      </c>
      <c r="K1208" s="8" t="s">
        <v>1061</v>
      </c>
      <c r="L1208" s="6" t="s">
        <v>43</v>
      </c>
      <c r="M1208" s="7">
        <v>46094</v>
      </c>
      <c r="N1208" s="7" t="s">
        <v>304</v>
      </c>
      <c r="O1208" s="7" t="s">
        <v>304</v>
      </c>
      <c r="P1208" s="6" t="s">
        <v>62</v>
      </c>
      <c r="Q1208" s="8" t="s">
        <v>4698</v>
      </c>
      <c r="R1208" t="str">
        <f>HYPERLINK("https://docs.wto.org/imrd/directdoc.asp?DDFDocuments/t/G/SPS/NKOR837.docx", "https://docs.wto.org/imrd/directdoc.asp?DDFDocuments/t/G/SPS/NKOR837.docx")</f>
        <v>https://docs.wto.org/imrd/directdoc.asp?DDFDocuments/t/G/SPS/NKOR837.docx</v>
      </c>
      <c r="S1208" t="str">
        <f>HYPERLINK("https://docs.wto.org/imrd/directdoc.asp?DDFDocuments/u/G/SPS/NKOR837.docx", "https://docs.wto.org/imrd/directdoc.asp?DDFDocuments/u/G/SPS/NKOR837.docx")</f>
        <v>https://docs.wto.org/imrd/directdoc.asp?DDFDocuments/u/G/SPS/NKOR837.docx</v>
      </c>
      <c r="T1208" t="str">
        <f>HYPERLINK("https://docs.wto.org/imrd/directdoc.asp?DDFDocuments/v/G/SPS/NKOR837.docx", "https://docs.wto.org/imrd/directdoc.asp?DDFDocuments/v/G/SPS/NKOR837.docx")</f>
        <v>https://docs.wto.org/imrd/directdoc.asp?DDFDocuments/v/G/SPS/NKOR837.docx</v>
      </c>
      <c r="U1208" t="s">
        <v>43</v>
      </c>
      <c r="V1208" t="s">
        <v>43</v>
      </c>
      <c r="W1208" t="s">
        <v>43</v>
      </c>
      <c r="X1208" t="s">
        <v>43</v>
      </c>
      <c r="Y1208" t="s">
        <v>43</v>
      </c>
      <c r="Z1208" t="s">
        <v>43</v>
      </c>
      <c r="AA1208" t="s">
        <v>43</v>
      </c>
      <c r="AB1208" s="2" t="s">
        <v>43</v>
      </c>
      <c r="AC1208" t="s">
        <v>46</v>
      </c>
      <c r="AD1208" t="s">
        <v>46</v>
      </c>
      <c r="AE1208" t="s">
        <v>46</v>
      </c>
      <c r="AF1208" t="s">
        <v>64</v>
      </c>
      <c r="AG1208" t="s">
        <v>99</v>
      </c>
      <c r="AH1208" s="2" t="s">
        <v>43</v>
      </c>
    </row>
    <row r="1209" spans="1:34" ht="30">
      <c r="A1209" s="6" t="s">
        <v>303</v>
      </c>
      <c r="B1209" s="7">
        <v>46034</v>
      </c>
      <c r="C1209" s="9" t="str">
        <f>HYPERLINK("https://eping.wto.org/en/Search?viewData= G/SPS/N/KOR/839"," G/SPS/N/KOR/839")</f>
        <v xml:space="preserve"> G/SPS/N/KOR/839</v>
      </c>
      <c r="D1209" s="8" t="s">
        <v>4699</v>
      </c>
      <c r="E1209" s="8" t="s">
        <v>4700</v>
      </c>
      <c r="F1209" s="8" t="s">
        <v>4676</v>
      </c>
      <c r="G1209" s="8" t="s">
        <v>43</v>
      </c>
      <c r="H1209" s="8" t="s">
        <v>43</v>
      </c>
      <c r="I1209" s="8" t="s">
        <v>58</v>
      </c>
      <c r="J1209" s="8" t="s">
        <v>43</v>
      </c>
      <c r="K1209" s="8" t="s">
        <v>310</v>
      </c>
      <c r="L1209" s="6" t="s">
        <v>43</v>
      </c>
      <c r="M1209" s="7">
        <v>46094</v>
      </c>
      <c r="N1209" s="7" t="s">
        <v>304</v>
      </c>
      <c r="O1209" s="7" t="s">
        <v>304</v>
      </c>
      <c r="P1209" s="6" t="s">
        <v>62</v>
      </c>
      <c r="Q1209" s="8" t="s">
        <v>4701</v>
      </c>
      <c r="R1209" t="str">
        <f>HYPERLINK("https://docs.wto.org/imrd/directdoc.asp?DDFDocuments/t/G/SPS/NKOR839.docx", "https://docs.wto.org/imrd/directdoc.asp?DDFDocuments/t/G/SPS/NKOR839.docx")</f>
        <v>https://docs.wto.org/imrd/directdoc.asp?DDFDocuments/t/G/SPS/NKOR839.docx</v>
      </c>
      <c r="S1209" t="str">
        <f>HYPERLINK("https://docs.wto.org/imrd/directdoc.asp?DDFDocuments/u/G/SPS/NKOR839.docx", "https://docs.wto.org/imrd/directdoc.asp?DDFDocuments/u/G/SPS/NKOR839.docx")</f>
        <v>https://docs.wto.org/imrd/directdoc.asp?DDFDocuments/u/G/SPS/NKOR839.docx</v>
      </c>
      <c r="T1209" t="str">
        <f>HYPERLINK("https://docs.wto.org/imrd/directdoc.asp?DDFDocuments/v/G/SPS/NKOR839.docx", "https://docs.wto.org/imrd/directdoc.asp?DDFDocuments/v/G/SPS/NKOR839.docx")</f>
        <v>https://docs.wto.org/imrd/directdoc.asp?DDFDocuments/v/G/SPS/NKOR839.docx</v>
      </c>
      <c r="U1209" t="s">
        <v>43</v>
      </c>
      <c r="V1209" t="s">
        <v>43</v>
      </c>
      <c r="W1209" t="s">
        <v>43</v>
      </c>
      <c r="X1209" t="s">
        <v>43</v>
      </c>
      <c r="Y1209" t="s">
        <v>43</v>
      </c>
      <c r="Z1209" t="s">
        <v>43</v>
      </c>
      <c r="AA1209" t="s">
        <v>43</v>
      </c>
      <c r="AB1209" s="2" t="s">
        <v>43</v>
      </c>
      <c r="AC1209" t="s">
        <v>46</v>
      </c>
      <c r="AD1209" t="s">
        <v>46</v>
      </c>
      <c r="AE1209" t="s">
        <v>46</v>
      </c>
      <c r="AF1209" t="s">
        <v>64</v>
      </c>
      <c r="AG1209" t="s">
        <v>99</v>
      </c>
      <c r="AH1209" s="2" t="s">
        <v>43</v>
      </c>
    </row>
    <row r="1210" spans="1:34" ht="90">
      <c r="A1210" s="6" t="s">
        <v>303</v>
      </c>
      <c r="B1210" s="7">
        <v>46034</v>
      </c>
      <c r="C1210" s="9" t="str">
        <f>HYPERLINK("https://eping.wto.org/en/Search?viewData= G/SPS/N/KOR/836"," G/SPS/N/KOR/836")</f>
        <v xml:space="preserve"> G/SPS/N/KOR/836</v>
      </c>
      <c r="D1210" s="8" t="s">
        <v>4702</v>
      </c>
      <c r="E1210" s="8" t="s">
        <v>4703</v>
      </c>
      <c r="F1210" s="8" t="s">
        <v>1370</v>
      </c>
      <c r="G1210" s="8" t="s">
        <v>43</v>
      </c>
      <c r="H1210" s="8" t="s">
        <v>43</v>
      </c>
      <c r="I1210" s="8" t="s">
        <v>58</v>
      </c>
      <c r="J1210" s="8" t="s">
        <v>43</v>
      </c>
      <c r="K1210" s="8" t="s">
        <v>2549</v>
      </c>
      <c r="L1210" s="6" t="s">
        <v>43</v>
      </c>
      <c r="M1210" s="7">
        <v>46094</v>
      </c>
      <c r="N1210" s="7" t="s">
        <v>304</v>
      </c>
      <c r="O1210" s="7" t="s">
        <v>304</v>
      </c>
      <c r="P1210" s="6" t="s">
        <v>62</v>
      </c>
      <c r="Q1210" s="8" t="s">
        <v>4704</v>
      </c>
      <c r="R1210" t="str">
        <f>HYPERLINK("https://docs.wto.org/imrd/directdoc.asp?DDFDocuments/t/G/SPS/NKOR836.docx", "https://docs.wto.org/imrd/directdoc.asp?DDFDocuments/t/G/SPS/NKOR836.docx")</f>
        <v>https://docs.wto.org/imrd/directdoc.asp?DDFDocuments/t/G/SPS/NKOR836.docx</v>
      </c>
      <c r="S1210" t="str">
        <f>HYPERLINK("https://docs.wto.org/imrd/directdoc.asp?DDFDocuments/u/G/SPS/NKOR836.docx", "https://docs.wto.org/imrd/directdoc.asp?DDFDocuments/u/G/SPS/NKOR836.docx")</f>
        <v>https://docs.wto.org/imrd/directdoc.asp?DDFDocuments/u/G/SPS/NKOR836.docx</v>
      </c>
      <c r="T1210" t="str">
        <f>HYPERLINK("https://docs.wto.org/imrd/directdoc.asp?DDFDocuments/v/G/SPS/NKOR836.docx", "https://docs.wto.org/imrd/directdoc.asp?DDFDocuments/v/G/SPS/NKOR836.docx")</f>
        <v>https://docs.wto.org/imrd/directdoc.asp?DDFDocuments/v/G/SPS/NKOR836.docx</v>
      </c>
      <c r="U1210" t="s">
        <v>43</v>
      </c>
      <c r="V1210" t="s">
        <v>43</v>
      </c>
      <c r="W1210" t="s">
        <v>43</v>
      </c>
      <c r="X1210" t="s">
        <v>43</v>
      </c>
      <c r="Y1210" t="s">
        <v>43</v>
      </c>
      <c r="Z1210" t="s">
        <v>43</v>
      </c>
      <c r="AA1210" t="s">
        <v>43</v>
      </c>
      <c r="AB1210" s="2" t="s">
        <v>43</v>
      </c>
      <c r="AC1210" t="s">
        <v>46</v>
      </c>
      <c r="AD1210" t="s">
        <v>46</v>
      </c>
      <c r="AE1210" t="s">
        <v>46</v>
      </c>
      <c r="AF1210" t="s">
        <v>64</v>
      </c>
      <c r="AG1210" t="s">
        <v>99</v>
      </c>
      <c r="AH1210" s="2" t="s">
        <v>43</v>
      </c>
    </row>
    <row r="1211" spans="1:34" ht="75">
      <c r="A1211" s="6" t="s">
        <v>185</v>
      </c>
      <c r="B1211" s="7">
        <v>46034</v>
      </c>
      <c r="C1211" s="9" t="str">
        <f>HYPERLINK("https://eping.wto.org/en/Search?viewData= G/TBT/N/CHN/2185"," G/TBT/N/CHN/2185")</f>
        <v xml:space="preserve"> G/TBT/N/CHN/2185</v>
      </c>
      <c r="D1211" s="8" t="s">
        <v>4705</v>
      </c>
      <c r="E1211" s="8" t="s">
        <v>4706</v>
      </c>
      <c r="F1211" s="8" t="s">
        <v>4707</v>
      </c>
      <c r="G1211" s="8" t="s">
        <v>4681</v>
      </c>
      <c r="H1211" s="8" t="s">
        <v>501</v>
      </c>
      <c r="I1211" s="8" t="s">
        <v>1897</v>
      </c>
      <c r="J1211" s="8" t="s">
        <v>43</v>
      </c>
      <c r="K1211" s="8" t="s">
        <v>43</v>
      </c>
      <c r="L1211" s="6"/>
      <c r="M1211" s="7">
        <v>46094</v>
      </c>
      <c r="N1211" s="7" t="s">
        <v>79</v>
      </c>
      <c r="O1211" s="7" t="s">
        <v>192</v>
      </c>
      <c r="P1211" s="6" t="s">
        <v>62</v>
      </c>
      <c r="Q1211" s="8" t="s">
        <v>4708</v>
      </c>
      <c r="R1211" t="str">
        <f>HYPERLINK("https://docs.wto.org/imrd/directdoc.asp?DDFDocuments/t/G/TBTN26/CHN2185.docx", "https://docs.wto.org/imrd/directdoc.asp?DDFDocuments/t/G/TBTN26/CHN2185.docx")</f>
        <v>https://docs.wto.org/imrd/directdoc.asp?DDFDocuments/t/G/TBTN26/CHN2185.docx</v>
      </c>
      <c r="S1211" t="str">
        <f>HYPERLINK("https://docs.wto.org/imrd/directdoc.asp?DDFDocuments/u/G/TBTN26/CHN2185.docx", "https://docs.wto.org/imrd/directdoc.asp?DDFDocuments/u/G/TBTN26/CHN2185.docx")</f>
        <v>https://docs.wto.org/imrd/directdoc.asp?DDFDocuments/u/G/TBTN26/CHN2185.docx</v>
      </c>
      <c r="T1211" t="str">
        <f>HYPERLINK("https://docs.wto.org/imrd/directdoc.asp?DDFDocuments/v/G/TBTN26/CHN2185.docx", "https://docs.wto.org/imrd/directdoc.asp?DDFDocuments/v/G/TBTN26/CHN2185.docx")</f>
        <v>https://docs.wto.org/imrd/directdoc.asp?DDFDocuments/v/G/TBTN26/CHN2185.docx</v>
      </c>
      <c r="U1211" t="s">
        <v>64</v>
      </c>
      <c r="V1211" t="s">
        <v>46</v>
      </c>
      <c r="W1211" t="s">
        <v>46</v>
      </c>
      <c r="X1211" t="s">
        <v>46</v>
      </c>
      <c r="Y1211" t="s">
        <v>46</v>
      </c>
      <c r="Z1211" t="s">
        <v>46</v>
      </c>
      <c r="AA1211" t="s">
        <v>46</v>
      </c>
      <c r="AB1211" s="2" t="s">
        <v>43</v>
      </c>
      <c r="AC1211" t="s">
        <v>43</v>
      </c>
      <c r="AD1211" t="s">
        <v>43</v>
      </c>
      <c r="AE1211" t="s">
        <v>43</v>
      </c>
      <c r="AF1211" t="s">
        <v>43</v>
      </c>
      <c r="AG1211" t="s">
        <v>43</v>
      </c>
      <c r="AH1211" s="2" t="s">
        <v>43</v>
      </c>
    </row>
    <row r="1212" spans="1:34" ht="60">
      <c r="A1212" s="6" t="s">
        <v>185</v>
      </c>
      <c r="B1212" s="7">
        <v>46034</v>
      </c>
      <c r="C1212" s="9" t="str">
        <f>HYPERLINK("https://eping.wto.org/en/Search?viewData= G/TBT/N/CHN/2186"," G/TBT/N/CHN/2186")</f>
        <v xml:space="preserve"> G/TBT/N/CHN/2186</v>
      </c>
      <c r="D1212" s="8" t="s">
        <v>4709</v>
      </c>
      <c r="E1212" s="8" t="s">
        <v>4710</v>
      </c>
      <c r="F1212" s="8" t="s">
        <v>4711</v>
      </c>
      <c r="G1212" s="8" t="s">
        <v>4681</v>
      </c>
      <c r="H1212" s="8" t="s">
        <v>501</v>
      </c>
      <c r="I1212" s="8" t="s">
        <v>1897</v>
      </c>
      <c r="J1212" s="8" t="s">
        <v>43</v>
      </c>
      <c r="K1212" s="8" t="s">
        <v>43</v>
      </c>
      <c r="L1212" s="6"/>
      <c r="M1212" s="7">
        <v>46094</v>
      </c>
      <c r="N1212" s="7" t="s">
        <v>79</v>
      </c>
      <c r="O1212" s="7" t="s">
        <v>192</v>
      </c>
      <c r="P1212" s="6" t="s">
        <v>62</v>
      </c>
      <c r="Q1212" s="8" t="s">
        <v>4712</v>
      </c>
      <c r="R1212" t="str">
        <f>HYPERLINK("https://docs.wto.org/imrd/directdoc.asp?DDFDocuments/t/G/TBTN26/CHN2186.docx", "https://docs.wto.org/imrd/directdoc.asp?DDFDocuments/t/G/TBTN26/CHN2186.docx")</f>
        <v>https://docs.wto.org/imrd/directdoc.asp?DDFDocuments/t/G/TBTN26/CHN2186.docx</v>
      </c>
      <c r="S1212" t="str">
        <f>HYPERLINK("https://docs.wto.org/imrd/directdoc.asp?DDFDocuments/u/G/TBTN26/CHN2186.docx", "https://docs.wto.org/imrd/directdoc.asp?DDFDocuments/u/G/TBTN26/CHN2186.docx")</f>
        <v>https://docs.wto.org/imrd/directdoc.asp?DDFDocuments/u/G/TBTN26/CHN2186.docx</v>
      </c>
      <c r="T1212" t="str">
        <f>HYPERLINK("https://docs.wto.org/imrd/directdoc.asp?DDFDocuments/v/G/TBTN26/CHN2186.docx", "https://docs.wto.org/imrd/directdoc.asp?DDFDocuments/v/G/TBTN26/CHN2186.docx")</f>
        <v>https://docs.wto.org/imrd/directdoc.asp?DDFDocuments/v/G/TBTN26/CHN2186.docx</v>
      </c>
      <c r="U1212" t="s">
        <v>64</v>
      </c>
      <c r="V1212" t="s">
        <v>46</v>
      </c>
      <c r="W1212" t="s">
        <v>46</v>
      </c>
      <c r="X1212" t="s">
        <v>46</v>
      </c>
      <c r="Y1212" t="s">
        <v>46</v>
      </c>
      <c r="Z1212" t="s">
        <v>46</v>
      </c>
      <c r="AA1212" t="s">
        <v>46</v>
      </c>
      <c r="AB1212" s="2" t="s">
        <v>43</v>
      </c>
      <c r="AC1212" t="s">
        <v>43</v>
      </c>
      <c r="AD1212" t="s">
        <v>43</v>
      </c>
      <c r="AE1212" t="s">
        <v>43</v>
      </c>
      <c r="AF1212" t="s">
        <v>43</v>
      </c>
      <c r="AG1212" t="s">
        <v>43</v>
      </c>
      <c r="AH1212" s="2" t="s">
        <v>43</v>
      </c>
    </row>
    <row r="1213" spans="1:34" ht="90">
      <c r="A1213" s="6" t="s">
        <v>124</v>
      </c>
      <c r="B1213" s="7">
        <v>46034</v>
      </c>
      <c r="C1213" s="9" t="str">
        <f>HYPERLINK("https://eping.wto.org/en/Search?viewData= G/TBT/N/KEN/1963/Corr.1"," G/TBT/N/KEN/1963/Corr.1")</f>
        <v xml:space="preserve"> G/TBT/N/KEN/1963/Corr.1</v>
      </c>
      <c r="D1213" s="8" t="s">
        <v>4615</v>
      </c>
      <c r="E1213" s="8" t="s">
        <v>4713</v>
      </c>
      <c r="F1213" s="8" t="s">
        <v>4404</v>
      </c>
      <c r="G1213" s="8" t="s">
        <v>4714</v>
      </c>
      <c r="H1213" s="8" t="s">
        <v>4715</v>
      </c>
      <c r="I1213" s="8" t="s">
        <v>2058</v>
      </c>
      <c r="J1213" s="8" t="s">
        <v>43</v>
      </c>
      <c r="K1213" s="8" t="s">
        <v>43</v>
      </c>
      <c r="L1213" s="6"/>
      <c r="M1213" s="7" t="s">
        <v>43</v>
      </c>
      <c r="N1213" s="7"/>
      <c r="O1213" s="7"/>
      <c r="P1213" s="6" t="s">
        <v>296</v>
      </c>
      <c r="Q1213" s="6"/>
      <c r="R1213" t="str">
        <f>HYPERLINK("https://docs.wto.org/imrd/directdoc.asp?DDFDocuments/t/G/TBTN26/KEN1963C1.docx", "https://docs.wto.org/imrd/directdoc.asp?DDFDocuments/t/G/TBTN26/KEN1963C1.docx")</f>
        <v>https://docs.wto.org/imrd/directdoc.asp?DDFDocuments/t/G/TBTN26/KEN1963C1.docx</v>
      </c>
      <c r="S1213" t="str">
        <f>HYPERLINK("https://docs.wto.org/imrd/directdoc.asp?DDFDocuments/u/G/TBTN26/KEN1963C1.docx", "https://docs.wto.org/imrd/directdoc.asp?DDFDocuments/u/G/TBTN26/KEN1963C1.docx")</f>
        <v>https://docs.wto.org/imrd/directdoc.asp?DDFDocuments/u/G/TBTN26/KEN1963C1.docx</v>
      </c>
      <c r="T1213" t="str">
        <f>HYPERLINK("https://docs.wto.org/imrd/directdoc.asp?DDFDocuments/v/G/TBTN26/KEN1963C1.docx", "https://docs.wto.org/imrd/directdoc.asp?DDFDocuments/v/G/TBTN26/KEN1963C1.docx")</f>
        <v>https://docs.wto.org/imrd/directdoc.asp?DDFDocuments/v/G/TBTN26/KEN1963C1.docx</v>
      </c>
      <c r="U1213" t="s">
        <v>46</v>
      </c>
      <c r="V1213" t="s">
        <v>46</v>
      </c>
      <c r="W1213" t="s">
        <v>46</v>
      </c>
      <c r="X1213" t="s">
        <v>46</v>
      </c>
      <c r="Y1213" t="s">
        <v>46</v>
      </c>
      <c r="Z1213" t="s">
        <v>46</v>
      </c>
      <c r="AA1213" t="s">
        <v>46</v>
      </c>
      <c r="AB1213" s="2" t="s">
        <v>43</v>
      </c>
      <c r="AC1213" t="s">
        <v>43</v>
      </c>
      <c r="AD1213" t="s">
        <v>43</v>
      </c>
      <c r="AE1213" t="s">
        <v>43</v>
      </c>
      <c r="AF1213" t="s">
        <v>43</v>
      </c>
      <c r="AG1213" t="s">
        <v>43</v>
      </c>
      <c r="AH1213" s="2" t="s">
        <v>43</v>
      </c>
    </row>
    <row r="1214" spans="1:34" ht="90">
      <c r="A1214" s="6" t="s">
        <v>185</v>
      </c>
      <c r="B1214" s="7">
        <v>46034</v>
      </c>
      <c r="C1214" s="9" t="str">
        <f>HYPERLINK("https://eping.wto.org/en/Search?viewData= G/TBT/N/CHN/2183"," G/TBT/N/CHN/2183")</f>
        <v xml:space="preserve"> G/TBT/N/CHN/2183</v>
      </c>
      <c r="D1214" s="8" t="s">
        <v>4716</v>
      </c>
      <c r="E1214" s="8" t="s">
        <v>4717</v>
      </c>
      <c r="F1214" s="8" t="s">
        <v>4718</v>
      </c>
      <c r="G1214" s="8" t="s">
        <v>4719</v>
      </c>
      <c r="H1214" s="8" t="s">
        <v>4720</v>
      </c>
      <c r="I1214" s="8" t="s">
        <v>413</v>
      </c>
      <c r="J1214" s="8" t="s">
        <v>43</v>
      </c>
      <c r="K1214" s="8" t="s">
        <v>43</v>
      </c>
      <c r="L1214" s="6"/>
      <c r="M1214" s="7">
        <v>46094</v>
      </c>
      <c r="N1214" s="7" t="s">
        <v>79</v>
      </c>
      <c r="O1214" s="7" t="s">
        <v>114</v>
      </c>
      <c r="P1214" s="6" t="s">
        <v>62</v>
      </c>
      <c r="Q1214" s="8" t="s">
        <v>4721</v>
      </c>
      <c r="R1214" t="str">
        <f>HYPERLINK("https://docs.wto.org/imrd/directdoc.asp?DDFDocuments/t/G/TBTN26/CHN2183.docx", "https://docs.wto.org/imrd/directdoc.asp?DDFDocuments/t/G/TBTN26/CHN2183.docx")</f>
        <v>https://docs.wto.org/imrd/directdoc.asp?DDFDocuments/t/G/TBTN26/CHN2183.docx</v>
      </c>
      <c r="S1214" t="str">
        <f>HYPERLINK("https://docs.wto.org/imrd/directdoc.asp?DDFDocuments/u/G/TBTN26/CHN2183.docx", "https://docs.wto.org/imrd/directdoc.asp?DDFDocuments/u/G/TBTN26/CHN2183.docx")</f>
        <v>https://docs.wto.org/imrd/directdoc.asp?DDFDocuments/u/G/TBTN26/CHN2183.docx</v>
      </c>
      <c r="T1214" t="str">
        <f>HYPERLINK("https://docs.wto.org/imrd/directdoc.asp?DDFDocuments/v/G/TBTN26/CHN2183.docx", "https://docs.wto.org/imrd/directdoc.asp?DDFDocuments/v/G/TBTN26/CHN2183.docx")</f>
        <v>https://docs.wto.org/imrd/directdoc.asp?DDFDocuments/v/G/TBTN26/CHN2183.docx</v>
      </c>
      <c r="U1214" t="s">
        <v>64</v>
      </c>
      <c r="V1214" t="s">
        <v>46</v>
      </c>
      <c r="W1214" t="s">
        <v>46</v>
      </c>
      <c r="X1214" t="s">
        <v>46</v>
      </c>
      <c r="Y1214" t="s">
        <v>46</v>
      </c>
      <c r="Z1214" t="s">
        <v>46</v>
      </c>
      <c r="AA1214" t="s">
        <v>46</v>
      </c>
      <c r="AB1214" s="2" t="s">
        <v>43</v>
      </c>
      <c r="AC1214" t="s">
        <v>43</v>
      </c>
      <c r="AD1214" t="s">
        <v>43</v>
      </c>
      <c r="AE1214" t="s">
        <v>43</v>
      </c>
      <c r="AF1214" t="s">
        <v>43</v>
      </c>
      <c r="AG1214" t="s">
        <v>43</v>
      </c>
      <c r="AH1214" s="2" t="s">
        <v>43</v>
      </c>
    </row>
    <row r="1215" spans="1:34" ht="105">
      <c r="A1215" s="6" t="s">
        <v>356</v>
      </c>
      <c r="B1215" s="7">
        <v>46034</v>
      </c>
      <c r="C1215" s="9" t="str">
        <f>HYPERLINK("https://eping.wto.org/en/Search?viewData= G/SPS/N/EU/903"," G/SPS/N/EU/903")</f>
        <v xml:space="preserve"> G/SPS/N/EU/903</v>
      </c>
      <c r="D1215" s="8" t="s">
        <v>4722</v>
      </c>
      <c r="E1215" s="8" t="s">
        <v>4723</v>
      </c>
      <c r="F1215" s="8" t="s">
        <v>359</v>
      </c>
      <c r="G1215" s="8" t="s">
        <v>156</v>
      </c>
      <c r="H1215" s="8" t="s">
        <v>43</v>
      </c>
      <c r="I1215" s="8" t="s">
        <v>361</v>
      </c>
      <c r="J1215" s="8" t="s">
        <v>43</v>
      </c>
      <c r="K1215" s="8" t="s">
        <v>2945</v>
      </c>
      <c r="L1215" s="6"/>
      <c r="M1215" s="7" t="s">
        <v>43</v>
      </c>
      <c r="N1215" s="7">
        <v>46001</v>
      </c>
      <c r="O1215" s="7" t="s">
        <v>3001</v>
      </c>
      <c r="P1215" s="6" t="s">
        <v>62</v>
      </c>
      <c r="Q1215" s="8" t="s">
        <v>4724</v>
      </c>
      <c r="R1215" t="str">
        <f>HYPERLINK("https://docs.wto.org/imrd/directdoc.asp?DDFDocuments/t/G/SPS/NEU903.docx", "https://docs.wto.org/imrd/directdoc.asp?DDFDocuments/t/G/SPS/NEU903.docx")</f>
        <v>https://docs.wto.org/imrd/directdoc.asp?DDFDocuments/t/G/SPS/NEU903.docx</v>
      </c>
      <c r="S1215" t="str">
        <f>HYPERLINK("https://docs.wto.org/imrd/directdoc.asp?DDFDocuments/u/G/SPS/NEU903.docx", "https://docs.wto.org/imrd/directdoc.asp?DDFDocuments/u/G/SPS/NEU903.docx")</f>
        <v>https://docs.wto.org/imrd/directdoc.asp?DDFDocuments/u/G/SPS/NEU903.docx</v>
      </c>
      <c r="T1215" t="str">
        <f>HYPERLINK("https://docs.wto.org/imrd/directdoc.asp?DDFDocuments/v/G/SPS/NEU903.docx", "https://docs.wto.org/imrd/directdoc.asp?DDFDocuments/v/G/SPS/NEU903.docx")</f>
        <v>https://docs.wto.org/imrd/directdoc.asp?DDFDocuments/v/G/SPS/NEU903.docx</v>
      </c>
      <c r="U1215" t="s">
        <v>43</v>
      </c>
      <c r="V1215" t="s">
        <v>43</v>
      </c>
      <c r="W1215" t="s">
        <v>43</v>
      </c>
      <c r="X1215" t="s">
        <v>43</v>
      </c>
      <c r="Y1215" t="s">
        <v>43</v>
      </c>
      <c r="Z1215" t="s">
        <v>43</v>
      </c>
      <c r="AA1215" t="s">
        <v>43</v>
      </c>
      <c r="AB1215" s="2" t="s">
        <v>43</v>
      </c>
      <c r="AC1215" t="s">
        <v>64</v>
      </c>
      <c r="AD1215" t="s">
        <v>46</v>
      </c>
      <c r="AE1215" t="s">
        <v>46</v>
      </c>
      <c r="AF1215" t="s">
        <v>46</v>
      </c>
      <c r="AG1215" t="s">
        <v>64</v>
      </c>
      <c r="AH1215" s="2" t="s">
        <v>43</v>
      </c>
    </row>
    <row r="1216" spans="1:34" ht="195">
      <c r="A1216" s="6" t="s">
        <v>215</v>
      </c>
      <c r="B1216" s="7">
        <v>46031</v>
      </c>
      <c r="C1216" s="9" t="str">
        <f>HYPERLINK("https://eping.wto.org/en/Search?viewData= G/SPS/N/MYS/71"," G/SPS/N/MYS/71")</f>
        <v xml:space="preserve"> G/SPS/N/MYS/71</v>
      </c>
      <c r="D1216" s="8" t="s">
        <v>4725</v>
      </c>
      <c r="E1216" s="8" t="s">
        <v>4726</v>
      </c>
      <c r="F1216" s="8" t="s">
        <v>3382</v>
      </c>
      <c r="G1216" s="8" t="s">
        <v>43</v>
      </c>
      <c r="H1216" s="8" t="s">
        <v>43</v>
      </c>
      <c r="I1216" s="8" t="s">
        <v>58</v>
      </c>
      <c r="J1216" s="8" t="s">
        <v>43</v>
      </c>
      <c r="K1216" s="8" t="s">
        <v>1061</v>
      </c>
      <c r="L1216" s="6" t="s">
        <v>43</v>
      </c>
      <c r="M1216" s="7">
        <v>46091</v>
      </c>
      <c r="N1216" s="7" t="s">
        <v>304</v>
      </c>
      <c r="O1216" s="7" t="s">
        <v>114</v>
      </c>
      <c r="P1216" s="6" t="s">
        <v>62</v>
      </c>
      <c r="Q1216" s="6"/>
      <c r="R1216" t="str">
        <f>HYPERLINK("https://docs.wto.org/imrd/directdoc.asp?DDFDocuments/t/G/SPS/NMYS71.docx", "https://docs.wto.org/imrd/directdoc.asp?DDFDocuments/t/G/SPS/NMYS71.docx")</f>
        <v>https://docs.wto.org/imrd/directdoc.asp?DDFDocuments/t/G/SPS/NMYS71.docx</v>
      </c>
      <c r="S1216" t="str">
        <f>HYPERLINK("https://docs.wto.org/imrd/directdoc.asp?DDFDocuments/u/G/SPS/NMYS71.docx", "https://docs.wto.org/imrd/directdoc.asp?DDFDocuments/u/G/SPS/NMYS71.docx")</f>
        <v>https://docs.wto.org/imrd/directdoc.asp?DDFDocuments/u/G/SPS/NMYS71.docx</v>
      </c>
      <c r="T1216" t="str">
        <f>HYPERLINK("https://docs.wto.org/imrd/directdoc.asp?DDFDocuments/v/G/SPS/NMYS71.docx", "https://docs.wto.org/imrd/directdoc.asp?DDFDocuments/v/G/SPS/NMYS71.docx")</f>
        <v>https://docs.wto.org/imrd/directdoc.asp?DDFDocuments/v/G/SPS/NMYS71.docx</v>
      </c>
      <c r="U1216" t="s">
        <v>43</v>
      </c>
      <c r="V1216" t="s">
        <v>43</v>
      </c>
      <c r="W1216" t="s">
        <v>43</v>
      </c>
      <c r="X1216" t="s">
        <v>43</v>
      </c>
      <c r="Y1216" t="s">
        <v>43</v>
      </c>
      <c r="Z1216" t="s">
        <v>43</v>
      </c>
      <c r="AA1216" t="s">
        <v>43</v>
      </c>
      <c r="AB1216" s="2" t="s">
        <v>43</v>
      </c>
      <c r="AC1216" t="s">
        <v>64</v>
      </c>
      <c r="AD1216" t="s">
        <v>46</v>
      </c>
      <c r="AE1216" t="s">
        <v>46</v>
      </c>
      <c r="AF1216" t="s">
        <v>46</v>
      </c>
      <c r="AG1216" t="s">
        <v>46</v>
      </c>
      <c r="AH1216" s="2" t="s">
        <v>4727</v>
      </c>
    </row>
    <row r="1217" spans="1:34" ht="90">
      <c r="A1217" s="6" t="s">
        <v>4304</v>
      </c>
      <c r="B1217" s="7">
        <v>46031</v>
      </c>
      <c r="C1217" s="9" t="str">
        <f>HYPERLINK("https://eping.wto.org/en/Search?viewData= G/SPS/N/MAR/116"," G/SPS/N/MAR/116")</f>
        <v xml:space="preserve"> G/SPS/N/MAR/116</v>
      </c>
      <c r="D1217" s="8" t="s">
        <v>4728</v>
      </c>
      <c r="E1217" s="8" t="s">
        <v>4729</v>
      </c>
      <c r="F1217" s="8" t="s">
        <v>4730</v>
      </c>
      <c r="G1217" s="8" t="s">
        <v>4731</v>
      </c>
      <c r="H1217" s="8" t="s">
        <v>43</v>
      </c>
      <c r="I1217" s="8" t="s">
        <v>58</v>
      </c>
      <c r="J1217" s="8" t="s">
        <v>43</v>
      </c>
      <c r="K1217" s="8" t="s">
        <v>310</v>
      </c>
      <c r="L1217" s="6" t="s">
        <v>43</v>
      </c>
      <c r="M1217" s="7">
        <v>46091</v>
      </c>
      <c r="N1217" s="7" t="s">
        <v>79</v>
      </c>
      <c r="O1217" s="7" t="s">
        <v>114</v>
      </c>
      <c r="P1217" s="6" t="s">
        <v>62</v>
      </c>
      <c r="Q1217" s="8" t="s">
        <v>4732</v>
      </c>
      <c r="R1217" t="str">
        <f>HYPERLINK("https://docs.wto.org/imrd/directdoc.asp?DDFDocuments/t/G/SPS/NMAR116.docx", "https://docs.wto.org/imrd/directdoc.asp?DDFDocuments/t/G/SPS/NMAR116.docx")</f>
        <v>https://docs.wto.org/imrd/directdoc.asp?DDFDocuments/t/G/SPS/NMAR116.docx</v>
      </c>
      <c r="S1217" t="str">
        <f>HYPERLINK("https://docs.wto.org/imrd/directdoc.asp?DDFDocuments/u/G/SPS/NMAR116.docx", "https://docs.wto.org/imrd/directdoc.asp?DDFDocuments/u/G/SPS/NMAR116.docx")</f>
        <v>https://docs.wto.org/imrd/directdoc.asp?DDFDocuments/u/G/SPS/NMAR116.docx</v>
      </c>
      <c r="T1217" t="str">
        <f>HYPERLINK("https://docs.wto.org/imrd/directdoc.asp?DDFDocuments/v/G/SPS/NMAR116.docx", "https://docs.wto.org/imrd/directdoc.asp?DDFDocuments/v/G/SPS/NMAR116.docx")</f>
        <v>https://docs.wto.org/imrd/directdoc.asp?DDFDocuments/v/G/SPS/NMAR116.docx</v>
      </c>
      <c r="U1217" t="s">
        <v>43</v>
      </c>
      <c r="V1217" t="s">
        <v>43</v>
      </c>
      <c r="W1217" t="s">
        <v>43</v>
      </c>
      <c r="X1217" t="s">
        <v>43</v>
      </c>
      <c r="Y1217" t="s">
        <v>43</v>
      </c>
      <c r="Z1217" t="s">
        <v>43</v>
      </c>
      <c r="AA1217" t="s">
        <v>43</v>
      </c>
      <c r="AB1217" s="2" t="s">
        <v>43</v>
      </c>
      <c r="AC1217" t="s">
        <v>46</v>
      </c>
      <c r="AD1217" t="s">
        <v>46</v>
      </c>
      <c r="AE1217" t="s">
        <v>46</v>
      </c>
      <c r="AF1217" t="s">
        <v>64</v>
      </c>
      <c r="AG1217" t="s">
        <v>99</v>
      </c>
      <c r="AH1217" s="2" t="s">
        <v>43</v>
      </c>
    </row>
    <row r="1218" spans="1:34" ht="105">
      <c r="A1218" s="6" t="s">
        <v>325</v>
      </c>
      <c r="B1218" s="7">
        <v>46031</v>
      </c>
      <c r="C1218" s="9" t="str">
        <f>HYPERLINK("https://eping.wto.org/en/Search?viewData= G/SPS/N/TPKM/656"," G/SPS/N/TPKM/656")</f>
        <v xml:space="preserve"> G/SPS/N/TPKM/656</v>
      </c>
      <c r="D1218" s="8" t="s">
        <v>4733</v>
      </c>
      <c r="E1218" s="8" t="s">
        <v>4734</v>
      </c>
      <c r="F1218" s="8" t="s">
        <v>4735</v>
      </c>
      <c r="G1218" s="8" t="s">
        <v>43</v>
      </c>
      <c r="H1218" s="8" t="s">
        <v>43</v>
      </c>
      <c r="I1218" s="8" t="s">
        <v>58</v>
      </c>
      <c r="J1218" s="8" t="s">
        <v>43</v>
      </c>
      <c r="K1218" s="8" t="s">
        <v>1061</v>
      </c>
      <c r="L1218" s="6" t="s">
        <v>43</v>
      </c>
      <c r="M1218" s="7">
        <v>46091</v>
      </c>
      <c r="N1218" s="7" t="s">
        <v>304</v>
      </c>
      <c r="O1218" s="7" t="s">
        <v>304</v>
      </c>
      <c r="P1218" s="6" t="s">
        <v>62</v>
      </c>
      <c r="Q1218" s="8" t="s">
        <v>4736</v>
      </c>
      <c r="R1218" t="str">
        <f>HYPERLINK("https://docs.wto.org/imrd/directdoc.asp?DDFDocuments/t/G/SPS/NTPKM656.docx", "https://docs.wto.org/imrd/directdoc.asp?DDFDocuments/t/G/SPS/NTPKM656.docx")</f>
        <v>https://docs.wto.org/imrd/directdoc.asp?DDFDocuments/t/G/SPS/NTPKM656.docx</v>
      </c>
      <c r="S1218" t="str">
        <f>HYPERLINK("https://docs.wto.org/imrd/directdoc.asp?DDFDocuments/u/G/SPS/NTPKM656.docx", "https://docs.wto.org/imrd/directdoc.asp?DDFDocuments/u/G/SPS/NTPKM656.docx")</f>
        <v>https://docs.wto.org/imrd/directdoc.asp?DDFDocuments/u/G/SPS/NTPKM656.docx</v>
      </c>
      <c r="T1218" t="str">
        <f>HYPERLINK("https://docs.wto.org/imrd/directdoc.asp?DDFDocuments/v/G/SPS/NTPKM656.docx", "https://docs.wto.org/imrd/directdoc.asp?DDFDocuments/v/G/SPS/NTPKM656.docx")</f>
        <v>https://docs.wto.org/imrd/directdoc.asp?DDFDocuments/v/G/SPS/NTPKM656.docx</v>
      </c>
      <c r="U1218" t="s">
        <v>43</v>
      </c>
      <c r="V1218" t="s">
        <v>43</v>
      </c>
      <c r="W1218" t="s">
        <v>43</v>
      </c>
      <c r="X1218" t="s">
        <v>43</v>
      </c>
      <c r="Y1218" t="s">
        <v>43</v>
      </c>
      <c r="Z1218" t="s">
        <v>43</v>
      </c>
      <c r="AA1218" t="s">
        <v>43</v>
      </c>
      <c r="AB1218" s="2" t="s">
        <v>43</v>
      </c>
      <c r="AC1218" t="s">
        <v>64</v>
      </c>
      <c r="AD1218" t="s">
        <v>46</v>
      </c>
      <c r="AE1218" t="s">
        <v>46</v>
      </c>
      <c r="AF1218" t="s">
        <v>46</v>
      </c>
      <c r="AG1218" t="s">
        <v>46</v>
      </c>
      <c r="AH1218" s="2" t="s">
        <v>4737</v>
      </c>
    </row>
    <row r="1219" spans="1:34" ht="285">
      <c r="A1219" s="6" t="s">
        <v>132</v>
      </c>
      <c r="B1219" s="7">
        <v>46031</v>
      </c>
      <c r="C1219" s="9" t="str">
        <f>HYPERLINK("https://eping.wto.org/en/Search?viewData= G/TBT/N/USA/1697/Add.4/Corr.2"," G/TBT/N/USA/1697/Add.4/Corr.2")</f>
        <v xml:space="preserve"> G/TBT/N/USA/1697/Add.4/Corr.2</v>
      </c>
      <c r="D1219" s="8" t="s">
        <v>2615</v>
      </c>
      <c r="E1219" s="8" t="s">
        <v>4738</v>
      </c>
      <c r="F1219" s="8" t="s">
        <v>2617</v>
      </c>
      <c r="G1219" s="8" t="s">
        <v>2618</v>
      </c>
      <c r="H1219" s="8" t="s">
        <v>2619</v>
      </c>
      <c r="I1219" s="8" t="s">
        <v>1261</v>
      </c>
      <c r="J1219" s="8" t="s">
        <v>43</v>
      </c>
      <c r="K1219" s="8" t="s">
        <v>43</v>
      </c>
      <c r="L1219" s="6"/>
      <c r="M1219" s="7" t="s">
        <v>43</v>
      </c>
      <c r="N1219" s="7"/>
      <c r="O1219" s="7"/>
      <c r="P1219" s="6" t="s">
        <v>296</v>
      </c>
      <c r="Q1219" s="8" t="s">
        <v>4739</v>
      </c>
      <c r="R1219" t="str">
        <f>HYPERLINK("https://docs.wto.org/imrd/directdoc.asp?DDFDocuments/t/G/TBTN21/USA1697A4C2.docx", "https://docs.wto.org/imrd/directdoc.asp?DDFDocuments/t/G/TBTN21/USA1697A4C2.docx")</f>
        <v>https://docs.wto.org/imrd/directdoc.asp?DDFDocuments/t/G/TBTN21/USA1697A4C2.docx</v>
      </c>
      <c r="S1219" t="str">
        <f>HYPERLINK("https://docs.wto.org/imrd/directdoc.asp?DDFDocuments/u/G/TBTN21/USA1697A4C2.docx", "https://docs.wto.org/imrd/directdoc.asp?DDFDocuments/u/G/TBTN21/USA1697A4C2.docx")</f>
        <v>https://docs.wto.org/imrd/directdoc.asp?DDFDocuments/u/G/TBTN21/USA1697A4C2.docx</v>
      </c>
      <c r="T1219" t="str">
        <f>HYPERLINK("https://docs.wto.org/imrd/directdoc.asp?DDFDocuments/v/G/TBTN21/USA1697A4C2.docx", "https://docs.wto.org/imrd/directdoc.asp?DDFDocuments/v/G/TBTN21/USA1697A4C2.docx")</f>
        <v>https://docs.wto.org/imrd/directdoc.asp?DDFDocuments/v/G/TBTN21/USA1697A4C2.docx</v>
      </c>
      <c r="U1219" t="s">
        <v>46</v>
      </c>
      <c r="V1219" t="s">
        <v>46</v>
      </c>
      <c r="W1219" t="s">
        <v>46</v>
      </c>
      <c r="X1219" t="s">
        <v>46</v>
      </c>
      <c r="Y1219" t="s">
        <v>46</v>
      </c>
      <c r="Z1219" t="s">
        <v>46</v>
      </c>
      <c r="AA1219" t="s">
        <v>64</v>
      </c>
      <c r="AB1219" s="2" t="s">
        <v>43</v>
      </c>
      <c r="AC1219" t="s">
        <v>43</v>
      </c>
      <c r="AD1219" t="s">
        <v>43</v>
      </c>
      <c r="AE1219" t="s">
        <v>43</v>
      </c>
      <c r="AF1219" t="s">
        <v>43</v>
      </c>
      <c r="AG1219" t="s">
        <v>43</v>
      </c>
      <c r="AH1219" s="2" t="s">
        <v>43</v>
      </c>
    </row>
    <row r="1220" spans="1:34" ht="150">
      <c r="A1220" s="6" t="s">
        <v>1603</v>
      </c>
      <c r="B1220" s="7">
        <v>46031</v>
      </c>
      <c r="C1220" s="9" t="str">
        <f>HYPERLINK("https://eping.wto.org/en/Search?viewData= G/SPS/N/ARM/62"," G/SPS/N/ARM/62")</f>
        <v xml:space="preserve"> G/SPS/N/ARM/62</v>
      </c>
      <c r="D1220" s="8" t="s">
        <v>4740</v>
      </c>
      <c r="E1220" s="8" t="s">
        <v>4741</v>
      </c>
      <c r="F1220" s="8" t="s">
        <v>4742</v>
      </c>
      <c r="G1220" s="8" t="s">
        <v>2688</v>
      </c>
      <c r="H1220" s="8" t="s">
        <v>43</v>
      </c>
      <c r="I1220" s="8" t="s">
        <v>254</v>
      </c>
      <c r="J1220" s="8" t="s">
        <v>43</v>
      </c>
      <c r="K1220" s="8" t="s">
        <v>255</v>
      </c>
      <c r="L1220" s="6" t="s">
        <v>43</v>
      </c>
      <c r="M1220" s="7">
        <v>46080</v>
      </c>
      <c r="N1220" s="7" t="s">
        <v>304</v>
      </c>
      <c r="O1220" s="7" t="s">
        <v>304</v>
      </c>
      <c r="P1220" s="6" t="s">
        <v>62</v>
      </c>
      <c r="Q1220" s="8" t="s">
        <v>4743</v>
      </c>
      <c r="R1220" t="str">
        <f>HYPERLINK("https://docs.wto.org/imrd/directdoc.asp?DDFDocuments/t/G/SPS/NARM62.docx", "https://docs.wto.org/imrd/directdoc.asp?DDFDocuments/t/G/SPS/NARM62.docx")</f>
        <v>https://docs.wto.org/imrd/directdoc.asp?DDFDocuments/t/G/SPS/NARM62.docx</v>
      </c>
      <c r="S1220" t="str">
        <f>HYPERLINK("https://docs.wto.org/imrd/directdoc.asp?DDFDocuments/u/G/SPS/NARM62.docx", "https://docs.wto.org/imrd/directdoc.asp?DDFDocuments/u/G/SPS/NARM62.docx")</f>
        <v>https://docs.wto.org/imrd/directdoc.asp?DDFDocuments/u/G/SPS/NARM62.docx</v>
      </c>
      <c r="T1220" t="str">
        <f>HYPERLINK("https://docs.wto.org/imrd/directdoc.asp?DDFDocuments/v/G/SPS/NARM62.docx", "https://docs.wto.org/imrd/directdoc.asp?DDFDocuments/v/G/SPS/NARM62.docx")</f>
        <v>https://docs.wto.org/imrd/directdoc.asp?DDFDocuments/v/G/SPS/NARM62.docx</v>
      </c>
      <c r="U1220" t="s">
        <v>43</v>
      </c>
      <c r="V1220" t="s">
        <v>43</v>
      </c>
      <c r="W1220" t="s">
        <v>43</v>
      </c>
      <c r="X1220" t="s">
        <v>43</v>
      </c>
      <c r="Y1220" t="s">
        <v>43</v>
      </c>
      <c r="Z1220" t="s">
        <v>43</v>
      </c>
      <c r="AA1220" t="s">
        <v>43</v>
      </c>
      <c r="AB1220" s="2" t="s">
        <v>43</v>
      </c>
      <c r="AC1220" t="s">
        <v>46</v>
      </c>
      <c r="AD1220" t="s">
        <v>46</v>
      </c>
      <c r="AE1220" t="s">
        <v>64</v>
      </c>
      <c r="AF1220" t="s">
        <v>46</v>
      </c>
      <c r="AG1220" t="s">
        <v>64</v>
      </c>
      <c r="AH1220" s="2" t="s">
        <v>43</v>
      </c>
    </row>
    <row r="1221" spans="1:34" ht="240">
      <c r="A1221" s="6" t="s">
        <v>132</v>
      </c>
      <c r="B1221" s="7">
        <v>46031</v>
      </c>
      <c r="C1221" s="9" t="str">
        <f>HYPERLINK("https://eping.wto.org/en/Search?viewData= G/TBT/N/USA/1983/Add.3"," G/TBT/N/USA/1983/Add.3")</f>
        <v xml:space="preserve"> G/TBT/N/USA/1983/Add.3</v>
      </c>
      <c r="D1221" s="8" t="s">
        <v>2356</v>
      </c>
      <c r="E1221" s="8" t="s">
        <v>4744</v>
      </c>
      <c r="F1221" s="8" t="s">
        <v>2358</v>
      </c>
      <c r="G1221" s="8" t="s">
        <v>43</v>
      </c>
      <c r="H1221" s="8" t="s">
        <v>2359</v>
      </c>
      <c r="I1221" s="8" t="s">
        <v>2360</v>
      </c>
      <c r="J1221" s="8" t="s">
        <v>43</v>
      </c>
      <c r="K1221" s="8" t="s">
        <v>43</v>
      </c>
      <c r="L1221" s="6"/>
      <c r="M1221" s="7" t="s">
        <v>43</v>
      </c>
      <c r="N1221" s="7"/>
      <c r="O1221" s="7"/>
      <c r="P1221" s="6" t="s">
        <v>44</v>
      </c>
      <c r="Q1221" s="8" t="s">
        <v>4745</v>
      </c>
      <c r="R1221" t="str">
        <f>HYPERLINK("https://docs.wto.org/imrd/directdoc.asp?DDFDocuments/t/G/TBTN23/USA1983A3.docx", "https://docs.wto.org/imrd/directdoc.asp?DDFDocuments/t/G/TBTN23/USA1983A3.docx")</f>
        <v>https://docs.wto.org/imrd/directdoc.asp?DDFDocuments/t/G/TBTN23/USA1983A3.docx</v>
      </c>
      <c r="S1221" t="str">
        <f>HYPERLINK("https://docs.wto.org/imrd/directdoc.asp?DDFDocuments/u/G/TBTN23/USA1983A3.docx", "https://docs.wto.org/imrd/directdoc.asp?DDFDocuments/u/G/TBTN23/USA1983A3.docx")</f>
        <v>https://docs.wto.org/imrd/directdoc.asp?DDFDocuments/u/G/TBTN23/USA1983A3.docx</v>
      </c>
      <c r="T1221" t="str">
        <f>HYPERLINK("https://docs.wto.org/imrd/directdoc.asp?DDFDocuments/v/G/TBTN23/USA1983A3.docx", "https://docs.wto.org/imrd/directdoc.asp?DDFDocuments/v/G/TBTN23/USA1983A3.docx")</f>
        <v>https://docs.wto.org/imrd/directdoc.asp?DDFDocuments/v/G/TBTN23/USA1983A3.docx</v>
      </c>
      <c r="U1221" t="s">
        <v>64</v>
      </c>
      <c r="V1221" t="s">
        <v>46</v>
      </c>
      <c r="W1221" t="s">
        <v>64</v>
      </c>
      <c r="X1221" t="s">
        <v>46</v>
      </c>
      <c r="Y1221" t="s">
        <v>46</v>
      </c>
      <c r="Z1221" t="s">
        <v>46</v>
      </c>
      <c r="AA1221" t="s">
        <v>46</v>
      </c>
      <c r="AB1221" s="2" t="s">
        <v>43</v>
      </c>
      <c r="AC1221" t="s">
        <v>43</v>
      </c>
      <c r="AD1221" t="s">
        <v>43</v>
      </c>
      <c r="AE1221" t="s">
        <v>43</v>
      </c>
      <c r="AF1221" t="s">
        <v>43</v>
      </c>
      <c r="AG1221" t="s">
        <v>43</v>
      </c>
      <c r="AH1221" s="2" t="s">
        <v>43</v>
      </c>
    </row>
    <row r="1222" spans="1:34" ht="105">
      <c r="A1222" s="6" t="s">
        <v>1684</v>
      </c>
      <c r="B1222" s="7">
        <v>46031</v>
      </c>
      <c r="C1222" s="9" t="str">
        <f>HYPERLINK("https://eping.wto.org/en/Search?viewData= G/SPS/N/FRA/22"," G/SPS/N/FRA/22")</f>
        <v xml:space="preserve"> G/SPS/N/FRA/22</v>
      </c>
      <c r="D1222" s="8" t="s">
        <v>4746</v>
      </c>
      <c r="E1222" s="8" t="s">
        <v>4747</v>
      </c>
      <c r="F1222" s="8" t="s">
        <v>4748</v>
      </c>
      <c r="G1222" s="8" t="s">
        <v>93</v>
      </c>
      <c r="H1222" s="8" t="s">
        <v>43</v>
      </c>
      <c r="I1222" s="8" t="s">
        <v>58</v>
      </c>
      <c r="J1222" s="8"/>
      <c r="K1222" s="8" t="s">
        <v>310</v>
      </c>
      <c r="L1222" s="6" t="s">
        <v>43</v>
      </c>
      <c r="M1222" s="7" t="s">
        <v>43</v>
      </c>
      <c r="N1222" s="7"/>
      <c r="O1222" s="7">
        <v>46030</v>
      </c>
      <c r="P1222" s="6" t="s">
        <v>107</v>
      </c>
      <c r="Q1222" s="8" t="s">
        <v>4749</v>
      </c>
      <c r="R1222" t="str">
        <f>HYPERLINK("https://docs.wto.org/imrd/directdoc.asp?DDFDocuments/t/G/SPS/NFRA22.docx", "https://docs.wto.org/imrd/directdoc.asp?DDFDocuments/t/G/SPS/NFRA22.docx")</f>
        <v>https://docs.wto.org/imrd/directdoc.asp?DDFDocuments/t/G/SPS/NFRA22.docx</v>
      </c>
      <c r="S1222" t="str">
        <f>HYPERLINK("https://docs.wto.org/imrd/directdoc.asp?DDFDocuments/u/G/SPS/NFRA22.docx", "https://docs.wto.org/imrd/directdoc.asp?DDFDocuments/u/G/SPS/NFRA22.docx")</f>
        <v>https://docs.wto.org/imrd/directdoc.asp?DDFDocuments/u/G/SPS/NFRA22.docx</v>
      </c>
      <c r="T1222" t="str">
        <f>HYPERLINK("https://docs.wto.org/imrd/directdoc.asp?DDFDocuments/v/G/SPS/NFRA22.docx", "https://docs.wto.org/imrd/directdoc.asp?DDFDocuments/v/G/SPS/NFRA22.docx")</f>
        <v>https://docs.wto.org/imrd/directdoc.asp?DDFDocuments/v/G/SPS/NFRA22.docx</v>
      </c>
      <c r="U1222" t="s">
        <v>43</v>
      </c>
      <c r="V1222" t="s">
        <v>43</v>
      </c>
      <c r="W1222" t="s">
        <v>43</v>
      </c>
      <c r="X1222" t="s">
        <v>43</v>
      </c>
      <c r="Y1222" t="s">
        <v>43</v>
      </c>
      <c r="Z1222" t="s">
        <v>43</v>
      </c>
      <c r="AA1222" t="s">
        <v>43</v>
      </c>
      <c r="AB1222" s="2" t="s">
        <v>43</v>
      </c>
      <c r="AC1222" t="s">
        <v>64</v>
      </c>
      <c r="AD1222" t="s">
        <v>46</v>
      </c>
      <c r="AE1222" t="s">
        <v>46</v>
      </c>
      <c r="AF1222" t="s">
        <v>46</v>
      </c>
      <c r="AG1222" t="s">
        <v>46</v>
      </c>
      <c r="AH1222" s="2" t="s">
        <v>4750</v>
      </c>
    </row>
    <row r="1223" spans="1:34" ht="90">
      <c r="A1223" s="6" t="s">
        <v>89</v>
      </c>
      <c r="B1223" s="7">
        <v>46031</v>
      </c>
      <c r="C1223" s="9" t="str">
        <f>HYPERLINK("https://eping.wto.org/en/Search?viewData= G/TBT/N/CRI/200/Add.3"," G/TBT/N/CRI/200/Add.3")</f>
        <v xml:space="preserve"> G/TBT/N/CRI/200/Add.3</v>
      </c>
      <c r="D1223" s="8" t="s">
        <v>4751</v>
      </c>
      <c r="E1223" s="8" t="s">
        <v>4752</v>
      </c>
      <c r="F1223" s="8" t="s">
        <v>4753</v>
      </c>
      <c r="G1223" s="8" t="s">
        <v>43</v>
      </c>
      <c r="H1223" s="8" t="s">
        <v>4754</v>
      </c>
      <c r="I1223" s="8" t="s">
        <v>3073</v>
      </c>
      <c r="J1223" s="8" t="s">
        <v>43</v>
      </c>
      <c r="K1223" s="8" t="s">
        <v>43</v>
      </c>
      <c r="L1223" s="6"/>
      <c r="M1223" s="7" t="s">
        <v>43</v>
      </c>
      <c r="N1223" s="7"/>
      <c r="O1223" s="7"/>
      <c r="P1223" s="6" t="s">
        <v>44</v>
      </c>
      <c r="Q1223" s="8" t="s">
        <v>4755</v>
      </c>
      <c r="R1223" t="str">
        <f>HYPERLINK("https://docs.wto.org/imrd/directdoc.asp?DDFDocuments/t/G/TBTN23/CRI200A3.docx", "https://docs.wto.org/imrd/directdoc.asp?DDFDocuments/t/G/TBTN23/CRI200A3.docx")</f>
        <v>https://docs.wto.org/imrd/directdoc.asp?DDFDocuments/t/G/TBTN23/CRI200A3.docx</v>
      </c>
      <c r="S1223" t="str">
        <f>HYPERLINK("https://docs.wto.org/imrd/directdoc.asp?DDFDocuments/u/G/TBTN23/CRI200A3.docx", "https://docs.wto.org/imrd/directdoc.asp?DDFDocuments/u/G/TBTN23/CRI200A3.docx")</f>
        <v>https://docs.wto.org/imrd/directdoc.asp?DDFDocuments/u/G/TBTN23/CRI200A3.docx</v>
      </c>
      <c r="T1223" t="str">
        <f>HYPERLINK("https://docs.wto.org/imrd/directdoc.asp?DDFDocuments/v/G/TBTN23/CRI200A3.docx", "https://docs.wto.org/imrd/directdoc.asp?DDFDocuments/v/G/TBTN23/CRI200A3.docx")</f>
        <v>https://docs.wto.org/imrd/directdoc.asp?DDFDocuments/v/G/TBTN23/CRI200A3.docx</v>
      </c>
      <c r="U1223" t="s">
        <v>64</v>
      </c>
      <c r="V1223" t="s">
        <v>46</v>
      </c>
      <c r="W1223" t="s">
        <v>46</v>
      </c>
      <c r="X1223" t="s">
        <v>46</v>
      </c>
      <c r="Y1223" t="s">
        <v>46</v>
      </c>
      <c r="Z1223" t="s">
        <v>46</v>
      </c>
      <c r="AA1223" t="s">
        <v>46</v>
      </c>
      <c r="AB1223" s="2" t="s">
        <v>43</v>
      </c>
      <c r="AC1223" t="s">
        <v>43</v>
      </c>
      <c r="AD1223" t="s">
        <v>43</v>
      </c>
      <c r="AE1223" t="s">
        <v>43</v>
      </c>
      <c r="AF1223" t="s">
        <v>43</v>
      </c>
      <c r="AG1223" t="s">
        <v>43</v>
      </c>
      <c r="AH1223" s="2" t="s">
        <v>43</v>
      </c>
    </row>
    <row r="1224" spans="1:34" ht="135">
      <c r="A1224" s="6" t="s">
        <v>158</v>
      </c>
      <c r="B1224" s="7">
        <v>46031</v>
      </c>
      <c r="C1224" s="9" t="str">
        <f>HYPERLINK("https://eping.wto.org/en/Search?viewData= G/TBT/N/UKR/346/Add.1"," G/TBT/N/UKR/346/Add.1")</f>
        <v xml:space="preserve"> G/TBT/N/UKR/346/Add.1</v>
      </c>
      <c r="D1224" s="8" t="s">
        <v>4756</v>
      </c>
      <c r="E1224" s="8" t="s">
        <v>4757</v>
      </c>
      <c r="F1224" s="8" t="s">
        <v>4758</v>
      </c>
      <c r="G1224" s="8" t="s">
        <v>43</v>
      </c>
      <c r="H1224" s="8" t="s">
        <v>4759</v>
      </c>
      <c r="I1224" s="8" t="s">
        <v>621</v>
      </c>
      <c r="J1224" s="8" t="s">
        <v>43</v>
      </c>
      <c r="K1224" s="8" t="s">
        <v>1029</v>
      </c>
      <c r="L1224" s="6"/>
      <c r="M1224" s="7" t="s">
        <v>43</v>
      </c>
      <c r="N1224" s="7"/>
      <c r="O1224" s="7"/>
      <c r="P1224" s="6" t="s">
        <v>44</v>
      </c>
      <c r="Q1224" s="8" t="s">
        <v>4760</v>
      </c>
      <c r="R1224" t="str">
        <f>HYPERLINK("https://docs.wto.org/imrd/directdoc.asp?DDFDocuments/t/G/TBTN25/UKR346A1.docx", "https://docs.wto.org/imrd/directdoc.asp?DDFDocuments/t/G/TBTN25/UKR346A1.docx")</f>
        <v>https://docs.wto.org/imrd/directdoc.asp?DDFDocuments/t/G/TBTN25/UKR346A1.docx</v>
      </c>
      <c r="S1224" t="str">
        <f>HYPERLINK("https://docs.wto.org/imrd/directdoc.asp?DDFDocuments/u/G/TBTN25/UKR346A1.docx", "https://docs.wto.org/imrd/directdoc.asp?DDFDocuments/u/G/TBTN25/UKR346A1.docx")</f>
        <v>https://docs.wto.org/imrd/directdoc.asp?DDFDocuments/u/G/TBTN25/UKR346A1.docx</v>
      </c>
      <c r="T1224" t="str">
        <f>HYPERLINK("https://docs.wto.org/imrd/directdoc.asp?DDFDocuments/v/G/TBTN25/UKR346A1.docx", "https://docs.wto.org/imrd/directdoc.asp?DDFDocuments/v/G/TBTN25/UKR346A1.docx")</f>
        <v>https://docs.wto.org/imrd/directdoc.asp?DDFDocuments/v/G/TBTN25/UKR346A1.docx</v>
      </c>
      <c r="U1224" t="s">
        <v>64</v>
      </c>
      <c r="V1224" t="s">
        <v>46</v>
      </c>
      <c r="W1224" t="s">
        <v>64</v>
      </c>
      <c r="X1224" t="s">
        <v>46</v>
      </c>
      <c r="Y1224" t="s">
        <v>46</v>
      </c>
      <c r="Z1224" t="s">
        <v>46</v>
      </c>
      <c r="AA1224" t="s">
        <v>46</v>
      </c>
      <c r="AB1224" s="2" t="s">
        <v>43</v>
      </c>
      <c r="AC1224" t="s">
        <v>43</v>
      </c>
      <c r="AD1224" t="s">
        <v>43</v>
      </c>
      <c r="AE1224" t="s">
        <v>43</v>
      </c>
      <c r="AF1224" t="s">
        <v>43</v>
      </c>
      <c r="AG1224" t="s">
        <v>43</v>
      </c>
      <c r="AH1224" s="2" t="s">
        <v>43</v>
      </c>
    </row>
    <row r="1225" spans="1:34" ht="180">
      <c r="A1225" s="6" t="s">
        <v>1917</v>
      </c>
      <c r="B1225" s="7">
        <v>46031</v>
      </c>
      <c r="C1225" s="9" t="str">
        <f>HYPERLINK("https://eping.wto.org/en/Search?viewData= G/TBT/N/EGY/313/Add.10"," G/TBT/N/EGY/313/Add.10")</f>
        <v xml:space="preserve"> G/TBT/N/EGY/313/Add.10</v>
      </c>
      <c r="D1225" s="8" t="s">
        <v>4761</v>
      </c>
      <c r="E1225" s="8" t="s">
        <v>4762</v>
      </c>
      <c r="F1225" s="8" t="s">
        <v>4763</v>
      </c>
      <c r="G1225" s="8" t="s">
        <v>43</v>
      </c>
      <c r="H1225" s="8" t="s">
        <v>4764</v>
      </c>
      <c r="I1225" s="8" t="s">
        <v>3083</v>
      </c>
      <c r="J1225" s="8" t="s">
        <v>4765</v>
      </c>
      <c r="K1225" s="8" t="s">
        <v>1029</v>
      </c>
      <c r="L1225" s="6"/>
      <c r="M1225" s="7" t="s">
        <v>43</v>
      </c>
      <c r="N1225" s="7"/>
      <c r="O1225" s="7"/>
      <c r="P1225" s="6" t="s">
        <v>44</v>
      </c>
      <c r="Q1225" s="6"/>
      <c r="R1225" t="str">
        <f>HYPERLINK("https://docs.wto.org/imrd/directdoc.asp?DDFDocuments/t/G/TBTN21/EGY313A10.docx", "https://docs.wto.org/imrd/directdoc.asp?DDFDocuments/t/G/TBTN21/EGY313A10.docx")</f>
        <v>https://docs.wto.org/imrd/directdoc.asp?DDFDocuments/t/G/TBTN21/EGY313A10.docx</v>
      </c>
      <c r="S1225" t="str">
        <f>HYPERLINK("https://docs.wto.org/imrd/directdoc.asp?DDFDocuments/u/G/TBTN21/EGY313A10.docx", "https://docs.wto.org/imrd/directdoc.asp?DDFDocuments/u/G/TBTN21/EGY313A10.docx")</f>
        <v>https://docs.wto.org/imrd/directdoc.asp?DDFDocuments/u/G/TBTN21/EGY313A10.docx</v>
      </c>
      <c r="T1225" t="str">
        <f>HYPERLINK("https://docs.wto.org/imrd/directdoc.asp?DDFDocuments/v/G/TBTN21/EGY313A10.docx", "https://docs.wto.org/imrd/directdoc.asp?DDFDocuments/v/G/TBTN21/EGY313A10.docx")</f>
        <v>https://docs.wto.org/imrd/directdoc.asp?DDFDocuments/v/G/TBTN21/EGY313A10.docx</v>
      </c>
      <c r="U1225" t="s">
        <v>46</v>
      </c>
      <c r="V1225" t="s">
        <v>46</v>
      </c>
      <c r="W1225" t="s">
        <v>64</v>
      </c>
      <c r="X1225" t="s">
        <v>46</v>
      </c>
      <c r="Y1225" t="s">
        <v>46</v>
      </c>
      <c r="Z1225" t="s">
        <v>46</v>
      </c>
      <c r="AA1225" t="s">
        <v>46</v>
      </c>
      <c r="AB1225" s="2" t="s">
        <v>43</v>
      </c>
      <c r="AC1225" t="s">
        <v>43</v>
      </c>
      <c r="AD1225" t="s">
        <v>43</v>
      </c>
      <c r="AE1225" t="s">
        <v>43</v>
      </c>
      <c r="AF1225" t="s">
        <v>43</v>
      </c>
      <c r="AG1225" t="s">
        <v>43</v>
      </c>
      <c r="AH1225" s="2" t="s">
        <v>43</v>
      </c>
    </row>
    <row r="1226" spans="1:34" ht="30">
      <c r="A1226" s="6" t="s">
        <v>289</v>
      </c>
      <c r="B1226" s="7">
        <v>46030</v>
      </c>
      <c r="C1226" s="9" t="str">
        <f>HYPERLINK("https://eping.wto.org/en/Search?viewData= G/SPS/N/BRA/2462"," G/SPS/N/BRA/2462")</f>
        <v xml:space="preserve"> G/SPS/N/BRA/2462</v>
      </c>
      <c r="D1226" s="8" t="s">
        <v>4766</v>
      </c>
      <c r="E1226" s="8" t="s">
        <v>4767</v>
      </c>
      <c r="F1226" s="8" t="s">
        <v>4768</v>
      </c>
      <c r="G1226" s="8" t="s">
        <v>43</v>
      </c>
      <c r="H1226" s="8" t="s">
        <v>43</v>
      </c>
      <c r="I1226" s="8" t="s">
        <v>529</v>
      </c>
      <c r="J1226" s="8" t="s">
        <v>43</v>
      </c>
      <c r="K1226" s="8" t="s">
        <v>749</v>
      </c>
      <c r="L1226" s="6"/>
      <c r="M1226" s="7" t="s">
        <v>43</v>
      </c>
      <c r="N1226" s="7">
        <v>46017</v>
      </c>
      <c r="O1226" s="7">
        <v>46017</v>
      </c>
      <c r="P1226" s="6" t="s">
        <v>62</v>
      </c>
      <c r="Q1226" s="8" t="s">
        <v>4769</v>
      </c>
      <c r="R1226" t="str">
        <f>HYPERLINK("https://docs.wto.org/imrd/directdoc.asp?DDFDocuments/t/G/SPS/NBRA2462.docx", "https://docs.wto.org/imrd/directdoc.asp?DDFDocuments/t/G/SPS/NBRA2462.docx")</f>
        <v>https://docs.wto.org/imrd/directdoc.asp?DDFDocuments/t/G/SPS/NBRA2462.docx</v>
      </c>
      <c r="S1226" t="str">
        <f>HYPERLINK("https://docs.wto.org/imrd/directdoc.asp?DDFDocuments/u/G/SPS/NBRA2462.docx", "https://docs.wto.org/imrd/directdoc.asp?DDFDocuments/u/G/SPS/NBRA2462.docx")</f>
        <v>https://docs.wto.org/imrd/directdoc.asp?DDFDocuments/u/G/SPS/NBRA2462.docx</v>
      </c>
      <c r="T1226" t="str">
        <f>HYPERLINK("https://docs.wto.org/imrd/directdoc.asp?DDFDocuments/v/G/SPS/NBRA2462.docx", "https://docs.wto.org/imrd/directdoc.asp?DDFDocuments/v/G/SPS/NBRA2462.docx")</f>
        <v>https://docs.wto.org/imrd/directdoc.asp?DDFDocuments/v/G/SPS/NBRA2462.docx</v>
      </c>
      <c r="U1226" t="s">
        <v>43</v>
      </c>
      <c r="V1226" t="s">
        <v>43</v>
      </c>
      <c r="W1226" t="s">
        <v>43</v>
      </c>
      <c r="X1226" t="s">
        <v>43</v>
      </c>
      <c r="Y1226" t="s">
        <v>43</v>
      </c>
      <c r="Z1226" t="s">
        <v>43</v>
      </c>
      <c r="AA1226" t="s">
        <v>43</v>
      </c>
      <c r="AB1226" s="2" t="s">
        <v>43</v>
      </c>
      <c r="AC1226" t="s">
        <v>46</v>
      </c>
      <c r="AD1226" t="s">
        <v>64</v>
      </c>
      <c r="AE1226" t="s">
        <v>46</v>
      </c>
      <c r="AF1226" t="s">
        <v>46</v>
      </c>
      <c r="AG1226" t="s">
        <v>64</v>
      </c>
      <c r="AH1226" s="2" t="s">
        <v>43</v>
      </c>
    </row>
    <row r="1227" spans="1:34" ht="60">
      <c r="A1227" s="6" t="s">
        <v>356</v>
      </c>
      <c r="B1227" s="7">
        <v>46030</v>
      </c>
      <c r="C1227" s="9" t="str">
        <f>HYPERLINK("https://eping.wto.org/en/Search?viewData= G/SPS/N/EU/863/Add.1"," G/SPS/N/EU/863/Add.1")</f>
        <v xml:space="preserve"> G/SPS/N/EU/863/Add.1</v>
      </c>
      <c r="D1227" s="8" t="s">
        <v>4770</v>
      </c>
      <c r="E1227" s="8" t="s">
        <v>4771</v>
      </c>
      <c r="F1227" s="8" t="s">
        <v>359</v>
      </c>
      <c r="G1227" s="8" t="s">
        <v>360</v>
      </c>
      <c r="H1227" s="8" t="s">
        <v>43</v>
      </c>
      <c r="I1227" s="8" t="s">
        <v>361</v>
      </c>
      <c r="J1227" s="8" t="s">
        <v>43</v>
      </c>
      <c r="K1227" s="8" t="s">
        <v>2449</v>
      </c>
      <c r="L1227" s="6"/>
      <c r="M1227" s="7" t="s">
        <v>43</v>
      </c>
      <c r="N1227" s="7"/>
      <c r="O1227" s="7"/>
      <c r="P1227" s="6" t="s">
        <v>44</v>
      </c>
      <c r="Q1227" s="8" t="s">
        <v>4772</v>
      </c>
      <c r="R1227" t="str">
        <f>HYPERLINK("https://docs.wto.org/imrd/directdoc.asp?DDFDocuments/t/G/SPS/NEU863A1.docx", "https://docs.wto.org/imrd/directdoc.asp?DDFDocuments/t/G/SPS/NEU863A1.docx")</f>
        <v>https://docs.wto.org/imrd/directdoc.asp?DDFDocuments/t/G/SPS/NEU863A1.docx</v>
      </c>
      <c r="S1227" t="str">
        <f>HYPERLINK("https://docs.wto.org/imrd/directdoc.asp?DDFDocuments/u/G/SPS/NEU863A1.docx", "https://docs.wto.org/imrd/directdoc.asp?DDFDocuments/u/G/SPS/NEU863A1.docx")</f>
        <v>https://docs.wto.org/imrd/directdoc.asp?DDFDocuments/u/G/SPS/NEU863A1.docx</v>
      </c>
      <c r="T1227" t="str">
        <f>HYPERLINK("https://docs.wto.org/imrd/directdoc.asp?DDFDocuments/v/G/SPS/NEU863A1.docx", "https://docs.wto.org/imrd/directdoc.asp?DDFDocuments/v/G/SPS/NEU863A1.docx")</f>
        <v>https://docs.wto.org/imrd/directdoc.asp?DDFDocuments/v/G/SPS/NEU863A1.docx</v>
      </c>
      <c r="U1227" t="s">
        <v>43</v>
      </c>
      <c r="V1227" t="s">
        <v>43</v>
      </c>
      <c r="W1227" t="s">
        <v>43</v>
      </c>
      <c r="X1227" t="s">
        <v>43</v>
      </c>
      <c r="Y1227" t="s">
        <v>43</v>
      </c>
      <c r="Z1227" t="s">
        <v>43</v>
      </c>
      <c r="AA1227" t="s">
        <v>43</v>
      </c>
      <c r="AB1227" s="2" t="s">
        <v>43</v>
      </c>
      <c r="AC1227" t="s">
        <v>43</v>
      </c>
      <c r="AD1227" t="s">
        <v>43</v>
      </c>
      <c r="AE1227" t="s">
        <v>43</v>
      </c>
      <c r="AF1227" t="s">
        <v>43</v>
      </c>
      <c r="AG1227" t="s">
        <v>43</v>
      </c>
      <c r="AH1227" s="2" t="s">
        <v>43</v>
      </c>
    </row>
    <row r="1228" spans="1:34" ht="45">
      <c r="A1228" s="6" t="s">
        <v>325</v>
      </c>
      <c r="B1228" s="7">
        <v>46030</v>
      </c>
      <c r="C1228" s="9" t="str">
        <f>HYPERLINK("https://eping.wto.org/en/Search?viewData= G/SPS/N/TPKM/655"," G/SPS/N/TPKM/655")</f>
        <v xml:space="preserve"> G/SPS/N/TPKM/655</v>
      </c>
      <c r="D1228" s="8" t="s">
        <v>4773</v>
      </c>
      <c r="E1228" s="8" t="s">
        <v>4774</v>
      </c>
      <c r="F1228" s="8" t="s">
        <v>383</v>
      </c>
      <c r="G1228" s="8" t="s">
        <v>43</v>
      </c>
      <c r="H1228" s="8" t="s">
        <v>43</v>
      </c>
      <c r="I1228" s="8" t="s">
        <v>94</v>
      </c>
      <c r="J1228" s="8" t="s">
        <v>43</v>
      </c>
      <c r="K1228" s="8" t="s">
        <v>3400</v>
      </c>
      <c r="L1228" s="6" t="s">
        <v>43</v>
      </c>
      <c r="M1228" s="7">
        <v>46090</v>
      </c>
      <c r="N1228" s="7" t="s">
        <v>304</v>
      </c>
      <c r="O1228" s="7" t="s">
        <v>304</v>
      </c>
      <c r="P1228" s="6" t="s">
        <v>62</v>
      </c>
      <c r="Q1228" s="8" t="s">
        <v>4775</v>
      </c>
      <c r="R1228" t="str">
        <f>HYPERLINK("https://docs.wto.org/imrd/directdoc.asp?DDFDocuments/t/G/SPS/NTPKM655.docx", "https://docs.wto.org/imrd/directdoc.asp?DDFDocuments/t/G/SPS/NTPKM655.docx")</f>
        <v>https://docs.wto.org/imrd/directdoc.asp?DDFDocuments/t/G/SPS/NTPKM655.docx</v>
      </c>
      <c r="S1228" t="str">
        <f>HYPERLINK("https://docs.wto.org/imrd/directdoc.asp?DDFDocuments/u/G/SPS/NTPKM655.docx", "https://docs.wto.org/imrd/directdoc.asp?DDFDocuments/u/G/SPS/NTPKM655.docx")</f>
        <v>https://docs.wto.org/imrd/directdoc.asp?DDFDocuments/u/G/SPS/NTPKM655.docx</v>
      </c>
      <c r="T1228" t="str">
        <f>HYPERLINK("https://docs.wto.org/imrd/directdoc.asp?DDFDocuments/v/G/SPS/NTPKM655.docx", "https://docs.wto.org/imrd/directdoc.asp?DDFDocuments/v/G/SPS/NTPKM655.docx")</f>
        <v>https://docs.wto.org/imrd/directdoc.asp?DDFDocuments/v/G/SPS/NTPKM655.docx</v>
      </c>
      <c r="U1228" t="s">
        <v>43</v>
      </c>
      <c r="V1228" t="s">
        <v>43</v>
      </c>
      <c r="W1228" t="s">
        <v>43</v>
      </c>
      <c r="X1228" t="s">
        <v>43</v>
      </c>
      <c r="Y1228" t="s">
        <v>43</v>
      </c>
      <c r="Z1228" t="s">
        <v>43</v>
      </c>
      <c r="AA1228" t="s">
        <v>43</v>
      </c>
      <c r="AB1228" s="2" t="s">
        <v>43</v>
      </c>
      <c r="AC1228" t="s">
        <v>46</v>
      </c>
      <c r="AD1228" t="s">
        <v>46</v>
      </c>
      <c r="AE1228" t="s">
        <v>64</v>
      </c>
      <c r="AF1228" t="s">
        <v>46</v>
      </c>
      <c r="AG1228" t="s">
        <v>64</v>
      </c>
      <c r="AH1228" s="2" t="s">
        <v>43</v>
      </c>
    </row>
    <row r="1229" spans="1:34" ht="45">
      <c r="A1229" s="6" t="s">
        <v>904</v>
      </c>
      <c r="B1229" s="7">
        <v>46030</v>
      </c>
      <c r="C1229" s="9" t="str">
        <f>HYPERLINK("https://eping.wto.org/en/Search?viewData= G/SPS/N/MEX/459"," G/SPS/N/MEX/459")</f>
        <v xml:space="preserve"> G/SPS/N/MEX/459</v>
      </c>
      <c r="D1229" s="8" t="s">
        <v>4776</v>
      </c>
      <c r="E1229" s="8" t="s">
        <v>4777</v>
      </c>
      <c r="F1229" s="8" t="s">
        <v>4778</v>
      </c>
      <c r="G1229" s="8" t="s">
        <v>4779</v>
      </c>
      <c r="H1229" s="8" t="s">
        <v>43</v>
      </c>
      <c r="I1229" s="8" t="s">
        <v>3780</v>
      </c>
      <c r="J1229" s="8" t="s">
        <v>43</v>
      </c>
      <c r="K1229" s="8" t="s">
        <v>4780</v>
      </c>
      <c r="L1229" s="6" t="s">
        <v>303</v>
      </c>
      <c r="M1229" s="7">
        <v>46090</v>
      </c>
      <c r="N1229" s="7" t="s">
        <v>79</v>
      </c>
      <c r="O1229" s="7" t="s">
        <v>79</v>
      </c>
      <c r="P1229" s="6" t="s">
        <v>62</v>
      </c>
      <c r="Q1229" s="8" t="s">
        <v>4781</v>
      </c>
      <c r="R1229" t="str">
        <f>HYPERLINK("https://docs.wto.org/imrd/directdoc.asp?DDFDocuments/t/G/SPS/NMEX459.docx", "https://docs.wto.org/imrd/directdoc.asp?DDFDocuments/t/G/SPS/NMEX459.docx")</f>
        <v>https://docs.wto.org/imrd/directdoc.asp?DDFDocuments/t/G/SPS/NMEX459.docx</v>
      </c>
      <c r="S1229" t="str">
        <f>HYPERLINK("https://docs.wto.org/imrd/directdoc.asp?DDFDocuments/u/G/SPS/NMEX459.docx", "https://docs.wto.org/imrd/directdoc.asp?DDFDocuments/u/G/SPS/NMEX459.docx")</f>
        <v>https://docs.wto.org/imrd/directdoc.asp?DDFDocuments/u/G/SPS/NMEX459.docx</v>
      </c>
      <c r="T1229" t="str">
        <f>HYPERLINK("https://docs.wto.org/imrd/directdoc.asp?DDFDocuments/v/G/SPS/NMEX459.docx", "https://docs.wto.org/imrd/directdoc.asp?DDFDocuments/v/G/SPS/NMEX459.docx")</f>
        <v>https://docs.wto.org/imrd/directdoc.asp?DDFDocuments/v/G/SPS/NMEX459.docx</v>
      </c>
      <c r="U1229" t="s">
        <v>43</v>
      </c>
      <c r="V1229" t="s">
        <v>43</v>
      </c>
      <c r="W1229" t="s">
        <v>43</v>
      </c>
      <c r="X1229" t="s">
        <v>43</v>
      </c>
      <c r="Y1229" t="s">
        <v>43</v>
      </c>
      <c r="Z1229" t="s">
        <v>43</v>
      </c>
      <c r="AA1229" t="s">
        <v>43</v>
      </c>
      <c r="AB1229" s="2" t="s">
        <v>43</v>
      </c>
      <c r="AC1229" t="s">
        <v>46</v>
      </c>
      <c r="AD1229" t="s">
        <v>46</v>
      </c>
      <c r="AE1229" t="s">
        <v>46</v>
      </c>
      <c r="AF1229" t="s">
        <v>64</v>
      </c>
      <c r="AG1229" t="s">
        <v>99</v>
      </c>
      <c r="AH1229" s="2" t="s">
        <v>4782</v>
      </c>
    </row>
    <row r="1230" spans="1:34" ht="45">
      <c r="A1230" s="6" t="s">
        <v>269</v>
      </c>
      <c r="B1230" s="7">
        <v>46030</v>
      </c>
      <c r="C1230" s="9" t="str">
        <f>HYPERLINK("https://eping.wto.org/en/Search?viewData= G/TBT/N/IDN/160/Add.3"," G/TBT/N/IDN/160/Add.3")</f>
        <v xml:space="preserve"> G/TBT/N/IDN/160/Add.3</v>
      </c>
      <c r="D1230" s="8" t="s">
        <v>4783</v>
      </c>
      <c r="E1230" s="8" t="s">
        <v>4784</v>
      </c>
      <c r="F1230" s="8" t="s">
        <v>4785</v>
      </c>
      <c r="G1230" s="8" t="s">
        <v>43</v>
      </c>
      <c r="H1230" s="8" t="s">
        <v>4786</v>
      </c>
      <c r="I1230" s="8" t="s">
        <v>1114</v>
      </c>
      <c r="J1230" s="8" t="s">
        <v>43</v>
      </c>
      <c r="K1230" s="8" t="s">
        <v>1029</v>
      </c>
      <c r="L1230" s="6"/>
      <c r="M1230" s="7">
        <v>46038</v>
      </c>
      <c r="N1230" s="7"/>
      <c r="O1230" s="7"/>
      <c r="P1230" s="6" t="s">
        <v>44</v>
      </c>
      <c r="Q1230" s="6"/>
      <c r="R1230" t="str">
        <f>HYPERLINK("https://docs.wto.org/imrd/directdoc.asp?DDFDocuments/t/G/TBTN23/IDN160A3.docx", "https://docs.wto.org/imrd/directdoc.asp?DDFDocuments/t/G/TBTN23/IDN160A3.docx")</f>
        <v>https://docs.wto.org/imrd/directdoc.asp?DDFDocuments/t/G/TBTN23/IDN160A3.docx</v>
      </c>
      <c r="S1230" t="str">
        <f>HYPERLINK("https://docs.wto.org/imrd/directdoc.asp?DDFDocuments/u/G/TBTN23/IDN160A3.docx", "https://docs.wto.org/imrd/directdoc.asp?DDFDocuments/u/G/TBTN23/IDN160A3.docx")</f>
        <v>https://docs.wto.org/imrd/directdoc.asp?DDFDocuments/u/G/TBTN23/IDN160A3.docx</v>
      </c>
      <c r="T1230" t="str">
        <f>HYPERLINK("https://docs.wto.org/imrd/directdoc.asp?DDFDocuments/v/G/TBTN23/IDN160A3.docx", "https://docs.wto.org/imrd/directdoc.asp?DDFDocuments/v/G/TBTN23/IDN160A3.docx")</f>
        <v>https://docs.wto.org/imrd/directdoc.asp?DDFDocuments/v/G/TBTN23/IDN160A3.docx</v>
      </c>
      <c r="U1230" t="s">
        <v>64</v>
      </c>
      <c r="V1230" t="s">
        <v>46</v>
      </c>
      <c r="W1230" t="s">
        <v>64</v>
      </c>
      <c r="X1230" t="s">
        <v>46</v>
      </c>
      <c r="Y1230" t="s">
        <v>46</v>
      </c>
      <c r="Z1230" t="s">
        <v>46</v>
      </c>
      <c r="AA1230" t="s">
        <v>46</v>
      </c>
      <c r="AB1230" s="2" t="s">
        <v>43</v>
      </c>
      <c r="AC1230" t="s">
        <v>43</v>
      </c>
      <c r="AD1230" t="s">
        <v>43</v>
      </c>
      <c r="AE1230" t="s">
        <v>43</v>
      </c>
      <c r="AF1230" t="s">
        <v>43</v>
      </c>
      <c r="AG1230" t="s">
        <v>43</v>
      </c>
      <c r="AH1230" s="2" t="s">
        <v>43</v>
      </c>
    </row>
    <row r="1231" spans="1:34" ht="255">
      <c r="A1231" s="6" t="s">
        <v>880</v>
      </c>
      <c r="B1231" s="7">
        <v>46030</v>
      </c>
      <c r="C1231" s="9" t="str">
        <f>HYPERLINK("https://eping.wto.org/en/Search?viewData= G/TBT/N/ECU/508/Add.4"," G/TBT/N/ECU/508/Add.4")</f>
        <v xml:space="preserve"> G/TBT/N/ECU/508/Add.4</v>
      </c>
      <c r="D1231" s="8" t="s">
        <v>4787</v>
      </c>
      <c r="E1231" s="8" t="s">
        <v>4788</v>
      </c>
      <c r="F1231" s="8" t="s">
        <v>4789</v>
      </c>
      <c r="G1231" s="8" t="s">
        <v>43</v>
      </c>
      <c r="H1231" s="8" t="s">
        <v>4790</v>
      </c>
      <c r="I1231" s="8" t="s">
        <v>413</v>
      </c>
      <c r="J1231" s="8" t="s">
        <v>43</v>
      </c>
      <c r="K1231" s="8" t="s">
        <v>860</v>
      </c>
      <c r="L1231" s="6"/>
      <c r="M1231" s="7" t="s">
        <v>43</v>
      </c>
      <c r="N1231" s="7"/>
      <c r="O1231" s="7"/>
      <c r="P1231" s="6" t="s">
        <v>44</v>
      </c>
      <c r="Q1231" s="8" t="s">
        <v>4791</v>
      </c>
      <c r="R1231" t="str">
        <f>HYPERLINK("https://docs.wto.org/imrd/directdoc.asp?DDFDocuments/t/G/TBTN21/ECU508A4.docx", "https://docs.wto.org/imrd/directdoc.asp?DDFDocuments/t/G/TBTN21/ECU508A4.docx")</f>
        <v>https://docs.wto.org/imrd/directdoc.asp?DDFDocuments/t/G/TBTN21/ECU508A4.docx</v>
      </c>
      <c r="S1231" t="str">
        <f>HYPERLINK("https://docs.wto.org/imrd/directdoc.asp?DDFDocuments/u/G/TBTN21/ECU508A4.docx", "https://docs.wto.org/imrd/directdoc.asp?DDFDocuments/u/G/TBTN21/ECU508A4.docx")</f>
        <v>https://docs.wto.org/imrd/directdoc.asp?DDFDocuments/u/G/TBTN21/ECU508A4.docx</v>
      </c>
      <c r="T1231" t="str">
        <f>HYPERLINK("https://docs.wto.org/imrd/directdoc.asp?DDFDocuments/v/G/TBTN21/ECU508A4.docx", "https://docs.wto.org/imrd/directdoc.asp?DDFDocuments/v/G/TBTN21/ECU508A4.docx")</f>
        <v>https://docs.wto.org/imrd/directdoc.asp?DDFDocuments/v/G/TBTN21/ECU508A4.docx</v>
      </c>
      <c r="U1231" t="s">
        <v>64</v>
      </c>
      <c r="V1231" t="s">
        <v>46</v>
      </c>
      <c r="W1231" t="s">
        <v>46</v>
      </c>
      <c r="X1231" t="s">
        <v>46</v>
      </c>
      <c r="Y1231" t="s">
        <v>46</v>
      </c>
      <c r="Z1231" t="s">
        <v>46</v>
      </c>
      <c r="AA1231" t="s">
        <v>46</v>
      </c>
      <c r="AB1231" s="2" t="s">
        <v>43</v>
      </c>
      <c r="AC1231" t="s">
        <v>43</v>
      </c>
      <c r="AD1231" t="s">
        <v>43</v>
      </c>
      <c r="AE1231" t="s">
        <v>43</v>
      </c>
      <c r="AF1231" t="s">
        <v>43</v>
      </c>
      <c r="AG1231" t="s">
        <v>43</v>
      </c>
      <c r="AH1231" s="2" t="s">
        <v>43</v>
      </c>
    </row>
    <row r="1232" spans="1:34" ht="105">
      <c r="A1232" s="6" t="s">
        <v>89</v>
      </c>
      <c r="B1232" s="7">
        <v>46030</v>
      </c>
      <c r="C1232" s="9" t="str">
        <f>HYPERLINK("https://eping.wto.org/en/Search?viewData= G/SPS/N/CRI/335/Add.1"," G/SPS/N/CRI/335/Add.1")</f>
        <v xml:space="preserve"> G/SPS/N/CRI/335/Add.1</v>
      </c>
      <c r="D1232" s="8" t="s">
        <v>4792</v>
      </c>
      <c r="E1232" s="8" t="s">
        <v>4792</v>
      </c>
      <c r="F1232" s="8" t="s">
        <v>4793</v>
      </c>
      <c r="G1232" s="8" t="s">
        <v>1710</v>
      </c>
      <c r="H1232" s="8" t="s">
        <v>43</v>
      </c>
      <c r="I1232" s="8" t="s">
        <v>94</v>
      </c>
      <c r="J1232" s="8" t="s">
        <v>43</v>
      </c>
      <c r="K1232" s="8" t="s">
        <v>203</v>
      </c>
      <c r="L1232" s="6"/>
      <c r="M1232" s="7" t="s">
        <v>43</v>
      </c>
      <c r="N1232" s="7"/>
      <c r="O1232" s="7"/>
      <c r="P1232" s="6" t="s">
        <v>44</v>
      </c>
      <c r="Q1232" s="8" t="s">
        <v>4794</v>
      </c>
      <c r="R1232" t="str">
        <f>HYPERLINK("https://docs.wto.org/imrd/directdoc.asp?DDFDocuments/t/G/SPS/NCRI335A1.docx", "https://docs.wto.org/imrd/directdoc.asp?DDFDocuments/t/G/SPS/NCRI335A1.docx")</f>
        <v>https://docs.wto.org/imrd/directdoc.asp?DDFDocuments/t/G/SPS/NCRI335A1.docx</v>
      </c>
      <c r="S1232" t="str">
        <f>HYPERLINK("https://docs.wto.org/imrd/directdoc.asp?DDFDocuments/u/G/SPS/NCRI335A1.docx", "https://docs.wto.org/imrd/directdoc.asp?DDFDocuments/u/G/SPS/NCRI335A1.docx")</f>
        <v>https://docs.wto.org/imrd/directdoc.asp?DDFDocuments/u/G/SPS/NCRI335A1.docx</v>
      </c>
      <c r="T1232" t="str">
        <f>HYPERLINK("https://docs.wto.org/imrd/directdoc.asp?DDFDocuments/v/G/SPS/NCRI335A1.docx", "https://docs.wto.org/imrd/directdoc.asp?DDFDocuments/v/G/SPS/NCRI335A1.docx")</f>
        <v>https://docs.wto.org/imrd/directdoc.asp?DDFDocuments/v/G/SPS/NCRI335A1.docx</v>
      </c>
      <c r="U1232" t="s">
        <v>43</v>
      </c>
      <c r="V1232" t="s">
        <v>43</v>
      </c>
      <c r="W1232" t="s">
        <v>43</v>
      </c>
      <c r="X1232" t="s">
        <v>43</v>
      </c>
      <c r="Y1232" t="s">
        <v>43</v>
      </c>
      <c r="Z1232" t="s">
        <v>43</v>
      </c>
      <c r="AA1232" t="s">
        <v>43</v>
      </c>
      <c r="AB1232" s="2" t="s">
        <v>43</v>
      </c>
      <c r="AC1232" t="s">
        <v>43</v>
      </c>
      <c r="AD1232" t="s">
        <v>43</v>
      </c>
      <c r="AE1232" t="s">
        <v>43</v>
      </c>
      <c r="AF1232" t="s">
        <v>43</v>
      </c>
      <c r="AG1232" t="s">
        <v>43</v>
      </c>
      <c r="AH1232" s="2" t="s">
        <v>43</v>
      </c>
    </row>
    <row r="1233" spans="1:34" ht="75">
      <c r="A1233" s="6" t="s">
        <v>146</v>
      </c>
      <c r="B1233" s="7">
        <v>46030</v>
      </c>
      <c r="C1233" s="9" t="str">
        <f>HYPERLINK("https://eping.wto.org/en/Search?viewData= G/SPS/N/CHL/871"," G/SPS/N/CHL/871")</f>
        <v xml:space="preserve"> G/SPS/N/CHL/871</v>
      </c>
      <c r="D1233" s="8" t="s">
        <v>4795</v>
      </c>
      <c r="E1233" s="8" t="s">
        <v>4796</v>
      </c>
      <c r="F1233" s="8" t="s">
        <v>4797</v>
      </c>
      <c r="G1233" s="8" t="s">
        <v>4798</v>
      </c>
      <c r="H1233" s="8" t="s">
        <v>43</v>
      </c>
      <c r="I1233" s="8" t="s">
        <v>254</v>
      </c>
      <c r="J1233" s="8" t="s">
        <v>43</v>
      </c>
      <c r="K1233" s="8" t="s">
        <v>2117</v>
      </c>
      <c r="L1233" s="6" t="s">
        <v>132</v>
      </c>
      <c r="M1233" s="7">
        <v>46090</v>
      </c>
      <c r="N1233" s="7" t="s">
        <v>4799</v>
      </c>
      <c r="O1233" s="7" t="s">
        <v>4799</v>
      </c>
      <c r="P1233" s="6" t="s">
        <v>62</v>
      </c>
      <c r="Q1233" s="8" t="s">
        <v>4800</v>
      </c>
      <c r="R1233" t="str">
        <f>HYPERLINK("https://docs.wto.org/imrd/directdoc.asp?DDFDocuments/t/G/SPS/NCHL871.docx", "https://docs.wto.org/imrd/directdoc.asp?DDFDocuments/t/G/SPS/NCHL871.docx")</f>
        <v>https://docs.wto.org/imrd/directdoc.asp?DDFDocuments/t/G/SPS/NCHL871.docx</v>
      </c>
      <c r="S1233" t="str">
        <f>HYPERLINK("https://docs.wto.org/imrd/directdoc.asp?DDFDocuments/u/G/SPS/NCHL871.docx", "https://docs.wto.org/imrd/directdoc.asp?DDFDocuments/u/G/SPS/NCHL871.docx")</f>
        <v>https://docs.wto.org/imrd/directdoc.asp?DDFDocuments/u/G/SPS/NCHL871.docx</v>
      </c>
      <c r="T1233" t="str">
        <f>HYPERLINK("https://docs.wto.org/imrd/directdoc.asp?DDFDocuments/v/G/SPS/NCHL871.docx", "https://docs.wto.org/imrd/directdoc.asp?DDFDocuments/v/G/SPS/NCHL871.docx")</f>
        <v>https://docs.wto.org/imrd/directdoc.asp?DDFDocuments/v/G/SPS/NCHL871.docx</v>
      </c>
      <c r="U1233" t="s">
        <v>43</v>
      </c>
      <c r="V1233" t="s">
        <v>43</v>
      </c>
      <c r="W1233" t="s">
        <v>43</v>
      </c>
      <c r="X1233" t="s">
        <v>43</v>
      </c>
      <c r="Y1233" t="s">
        <v>43</v>
      </c>
      <c r="Z1233" t="s">
        <v>43</v>
      </c>
      <c r="AA1233" t="s">
        <v>43</v>
      </c>
      <c r="AB1233" s="2" t="s">
        <v>43</v>
      </c>
      <c r="AC1233" t="s">
        <v>46</v>
      </c>
      <c r="AD1233" t="s">
        <v>46</v>
      </c>
      <c r="AE1233" t="s">
        <v>64</v>
      </c>
      <c r="AF1233" t="s">
        <v>46</v>
      </c>
      <c r="AG1233" t="s">
        <v>64</v>
      </c>
      <c r="AH1233" s="2" t="s">
        <v>43</v>
      </c>
    </row>
    <row r="1234" spans="1:34" ht="210">
      <c r="A1234" s="6" t="s">
        <v>132</v>
      </c>
      <c r="B1234" s="7">
        <v>46030</v>
      </c>
      <c r="C1234" s="9" t="str">
        <f>HYPERLINK("https://eping.wto.org/en/Search?viewData= G/TBT/N/USA/2255"," G/TBT/N/USA/2255")</f>
        <v xml:space="preserve"> G/TBT/N/USA/2255</v>
      </c>
      <c r="D1234" s="8" t="s">
        <v>4801</v>
      </c>
      <c r="E1234" s="8" t="s">
        <v>4802</v>
      </c>
      <c r="F1234" s="8" t="s">
        <v>4803</v>
      </c>
      <c r="G1234" s="8" t="s">
        <v>43</v>
      </c>
      <c r="H1234" s="8" t="s">
        <v>4804</v>
      </c>
      <c r="I1234" s="8" t="s">
        <v>4598</v>
      </c>
      <c r="J1234" s="8" t="s">
        <v>43</v>
      </c>
      <c r="K1234" s="8" t="s">
        <v>43</v>
      </c>
      <c r="L1234" s="6"/>
      <c r="M1234" s="7" t="s">
        <v>43</v>
      </c>
      <c r="N1234" s="7" t="s">
        <v>79</v>
      </c>
      <c r="O1234" s="7" t="s">
        <v>79</v>
      </c>
      <c r="P1234" s="6" t="s">
        <v>62</v>
      </c>
      <c r="Q1234" s="8" t="s">
        <v>4805</v>
      </c>
      <c r="R1234" t="str">
        <f>HYPERLINK("https://docs.wto.org/imrd/directdoc.asp?DDFDocuments/t/G/TBTN26/USA2255.docx", "https://docs.wto.org/imrd/directdoc.asp?DDFDocuments/t/G/TBTN26/USA2255.docx")</f>
        <v>https://docs.wto.org/imrd/directdoc.asp?DDFDocuments/t/G/TBTN26/USA2255.docx</v>
      </c>
      <c r="S1234" t="str">
        <f>HYPERLINK("https://docs.wto.org/imrd/directdoc.asp?DDFDocuments/u/G/TBTN26/USA2255.docx", "https://docs.wto.org/imrd/directdoc.asp?DDFDocuments/u/G/TBTN26/USA2255.docx")</f>
        <v>https://docs.wto.org/imrd/directdoc.asp?DDFDocuments/u/G/TBTN26/USA2255.docx</v>
      </c>
      <c r="T1234" t="str">
        <f>HYPERLINK("https://docs.wto.org/imrd/directdoc.asp?DDFDocuments/v/G/TBTN26/USA2255.docx", "https://docs.wto.org/imrd/directdoc.asp?DDFDocuments/v/G/TBTN26/USA2255.docx")</f>
        <v>https://docs.wto.org/imrd/directdoc.asp?DDFDocuments/v/G/TBTN26/USA2255.docx</v>
      </c>
      <c r="U1234" t="s">
        <v>46</v>
      </c>
      <c r="V1234" t="s">
        <v>46</v>
      </c>
      <c r="W1234" t="s">
        <v>46</v>
      </c>
      <c r="X1234" t="s">
        <v>46</v>
      </c>
      <c r="Y1234" t="s">
        <v>46</v>
      </c>
      <c r="Z1234" t="s">
        <v>46</v>
      </c>
      <c r="AA1234" t="s">
        <v>64</v>
      </c>
      <c r="AB1234" s="2" t="s">
        <v>4806</v>
      </c>
      <c r="AC1234" t="s">
        <v>43</v>
      </c>
      <c r="AD1234" t="s">
        <v>43</v>
      </c>
      <c r="AE1234" t="s">
        <v>43</v>
      </c>
      <c r="AF1234" t="s">
        <v>43</v>
      </c>
      <c r="AG1234" t="s">
        <v>43</v>
      </c>
      <c r="AH1234" s="2" t="s">
        <v>43</v>
      </c>
    </row>
    <row r="1235" spans="1:34" ht="409.5">
      <c r="A1235" s="6" t="s">
        <v>303</v>
      </c>
      <c r="B1235" s="7">
        <v>46030</v>
      </c>
      <c r="C1235" s="9" t="str">
        <f>HYPERLINK("https://eping.wto.org/en/Search?viewData= G/TBT/N/KOR/1337"," G/TBT/N/KOR/1337")</f>
        <v xml:space="preserve"> G/TBT/N/KOR/1337</v>
      </c>
      <c r="D1235" s="8" t="s">
        <v>4807</v>
      </c>
      <c r="E1235" s="8" t="s">
        <v>4808</v>
      </c>
      <c r="F1235" s="8" t="s">
        <v>4809</v>
      </c>
      <c r="G1235" s="8" t="s">
        <v>43</v>
      </c>
      <c r="H1235" s="8" t="s">
        <v>43</v>
      </c>
      <c r="I1235" s="8" t="s">
        <v>2410</v>
      </c>
      <c r="J1235" s="8" t="s">
        <v>43</v>
      </c>
      <c r="K1235" s="8" t="s">
        <v>43</v>
      </c>
      <c r="L1235" s="6"/>
      <c r="M1235" s="7">
        <v>46090</v>
      </c>
      <c r="N1235" s="7" t="s">
        <v>79</v>
      </c>
      <c r="O1235" s="7" t="s">
        <v>79</v>
      </c>
      <c r="P1235" s="6" t="s">
        <v>62</v>
      </c>
      <c r="Q1235" s="8" t="s">
        <v>4810</v>
      </c>
      <c r="R1235" t="str">
        <f>HYPERLINK("https://docs.wto.org/imrd/directdoc.asp?DDFDocuments/t/G/TBTN26/KOR1337.docx", "https://docs.wto.org/imrd/directdoc.asp?DDFDocuments/t/G/TBTN26/KOR1337.docx")</f>
        <v>https://docs.wto.org/imrd/directdoc.asp?DDFDocuments/t/G/TBTN26/KOR1337.docx</v>
      </c>
      <c r="S1235" t="str">
        <f>HYPERLINK("https://docs.wto.org/imrd/directdoc.asp?DDFDocuments/u/G/TBTN26/KOR1337.docx", "https://docs.wto.org/imrd/directdoc.asp?DDFDocuments/u/G/TBTN26/KOR1337.docx")</f>
        <v>https://docs.wto.org/imrd/directdoc.asp?DDFDocuments/u/G/TBTN26/KOR1337.docx</v>
      </c>
      <c r="T1235" t="str">
        <f>HYPERLINK("https://docs.wto.org/imrd/directdoc.asp?DDFDocuments/v/G/TBTN26/KOR1337.docx", "https://docs.wto.org/imrd/directdoc.asp?DDFDocuments/v/G/TBTN26/KOR1337.docx")</f>
        <v>https://docs.wto.org/imrd/directdoc.asp?DDFDocuments/v/G/TBTN26/KOR1337.docx</v>
      </c>
      <c r="U1235" t="s">
        <v>64</v>
      </c>
      <c r="V1235" t="s">
        <v>46</v>
      </c>
      <c r="W1235" t="s">
        <v>46</v>
      </c>
      <c r="X1235" t="s">
        <v>46</v>
      </c>
      <c r="Y1235" t="s">
        <v>46</v>
      </c>
      <c r="Z1235" t="s">
        <v>46</v>
      </c>
      <c r="AA1235" t="s">
        <v>46</v>
      </c>
      <c r="AB1235" s="2" t="s">
        <v>4811</v>
      </c>
      <c r="AC1235" t="s">
        <v>43</v>
      </c>
      <c r="AD1235" t="s">
        <v>43</v>
      </c>
      <c r="AE1235" t="s">
        <v>43</v>
      </c>
      <c r="AF1235" t="s">
        <v>43</v>
      </c>
      <c r="AG1235" t="s">
        <v>43</v>
      </c>
      <c r="AH1235" s="2" t="s">
        <v>43</v>
      </c>
    </row>
    <row r="1236" spans="1:34" ht="345">
      <c r="A1236" s="6" t="s">
        <v>1649</v>
      </c>
      <c r="B1236" s="7">
        <v>46030</v>
      </c>
      <c r="C1236" s="9" t="str">
        <f>HYPERLINK("https://eping.wto.org/en/Search?viewData= G/SPS/N/VNM/178"," G/SPS/N/VNM/178")</f>
        <v xml:space="preserve"> G/SPS/N/VNM/178</v>
      </c>
      <c r="D1236" s="8" t="s">
        <v>4812</v>
      </c>
      <c r="E1236" s="8" t="s">
        <v>4813</v>
      </c>
      <c r="F1236" s="8" t="s">
        <v>4814</v>
      </c>
      <c r="G1236" s="8" t="s">
        <v>273</v>
      </c>
      <c r="H1236" s="8" t="s">
        <v>43</v>
      </c>
      <c r="I1236" s="8" t="s">
        <v>150</v>
      </c>
      <c r="J1236" s="8" t="s">
        <v>43</v>
      </c>
      <c r="K1236" s="8" t="s">
        <v>4815</v>
      </c>
      <c r="L1236" s="6" t="s">
        <v>43</v>
      </c>
      <c r="M1236" s="7">
        <v>46090</v>
      </c>
      <c r="N1236" s="7">
        <v>46077</v>
      </c>
      <c r="O1236" s="7">
        <v>46077</v>
      </c>
      <c r="P1236" s="6" t="s">
        <v>62</v>
      </c>
      <c r="Q1236" s="8" t="s">
        <v>4816</v>
      </c>
      <c r="R1236" t="str">
        <f>HYPERLINK("https://docs.wto.org/imrd/directdoc.asp?DDFDocuments/t/G/SPS/NVNM178.docx", "https://docs.wto.org/imrd/directdoc.asp?DDFDocuments/t/G/SPS/NVNM178.docx")</f>
        <v>https://docs.wto.org/imrd/directdoc.asp?DDFDocuments/t/G/SPS/NVNM178.docx</v>
      </c>
      <c r="S1236" t="str">
        <f>HYPERLINK("https://docs.wto.org/imrd/directdoc.asp?DDFDocuments/u/G/SPS/NVNM178.docx", "https://docs.wto.org/imrd/directdoc.asp?DDFDocuments/u/G/SPS/NVNM178.docx")</f>
        <v>https://docs.wto.org/imrd/directdoc.asp?DDFDocuments/u/G/SPS/NVNM178.docx</v>
      </c>
      <c r="T1236" t="str">
        <f>HYPERLINK("https://docs.wto.org/imrd/directdoc.asp?DDFDocuments/v/G/SPS/NVNM178.docx", "https://docs.wto.org/imrd/directdoc.asp?DDFDocuments/v/G/SPS/NVNM178.docx")</f>
        <v>https://docs.wto.org/imrd/directdoc.asp?DDFDocuments/v/G/SPS/NVNM178.docx</v>
      </c>
      <c r="U1236" t="s">
        <v>43</v>
      </c>
      <c r="V1236" t="s">
        <v>43</v>
      </c>
      <c r="W1236" t="s">
        <v>43</v>
      </c>
      <c r="X1236" t="s">
        <v>43</v>
      </c>
      <c r="Y1236" t="s">
        <v>43</v>
      </c>
      <c r="Z1236" t="s">
        <v>43</v>
      </c>
      <c r="AA1236" t="s">
        <v>43</v>
      </c>
      <c r="AB1236" s="2" t="s">
        <v>43</v>
      </c>
      <c r="AC1236" t="s">
        <v>46</v>
      </c>
      <c r="AD1236" t="s">
        <v>46</v>
      </c>
      <c r="AE1236" t="s">
        <v>46</v>
      </c>
      <c r="AF1236" t="s">
        <v>64</v>
      </c>
      <c r="AG1236" t="s">
        <v>99</v>
      </c>
      <c r="AH1236" s="2" t="s">
        <v>43</v>
      </c>
    </row>
    <row r="1237" spans="1:34" ht="45">
      <c r="A1237" s="6" t="s">
        <v>269</v>
      </c>
      <c r="B1237" s="7">
        <v>46030</v>
      </c>
      <c r="C1237" s="9" t="str">
        <f>HYPERLINK("https://eping.wto.org/en/Search?viewData= G/TBT/N/IDN/163/Add.2"," G/TBT/N/IDN/163/Add.2")</f>
        <v xml:space="preserve"> G/TBT/N/IDN/163/Add.2</v>
      </c>
      <c r="D1237" s="8" t="s">
        <v>4817</v>
      </c>
      <c r="E1237" s="8" t="s">
        <v>4818</v>
      </c>
      <c r="F1237" s="8" t="s">
        <v>4819</v>
      </c>
      <c r="G1237" s="8" t="s">
        <v>43</v>
      </c>
      <c r="H1237" s="8" t="s">
        <v>4820</v>
      </c>
      <c r="I1237" s="8" t="s">
        <v>1114</v>
      </c>
      <c r="J1237" s="8" t="s">
        <v>43</v>
      </c>
      <c r="K1237" s="8" t="s">
        <v>1029</v>
      </c>
      <c r="L1237" s="6"/>
      <c r="M1237" s="7">
        <v>46038</v>
      </c>
      <c r="N1237" s="7"/>
      <c r="O1237" s="7"/>
      <c r="P1237" s="6" t="s">
        <v>44</v>
      </c>
      <c r="Q1237" s="6"/>
      <c r="R1237" t="str">
        <f>HYPERLINK("https://docs.wto.org/imrd/directdoc.asp?DDFDocuments/t/G/TBTN23/IDN163A2.docx", "https://docs.wto.org/imrd/directdoc.asp?DDFDocuments/t/G/TBTN23/IDN163A2.docx")</f>
        <v>https://docs.wto.org/imrd/directdoc.asp?DDFDocuments/t/G/TBTN23/IDN163A2.docx</v>
      </c>
      <c r="S1237" t="str">
        <f>HYPERLINK("https://docs.wto.org/imrd/directdoc.asp?DDFDocuments/u/G/TBTN23/IDN163A2.docx", "https://docs.wto.org/imrd/directdoc.asp?DDFDocuments/u/G/TBTN23/IDN163A2.docx")</f>
        <v>https://docs.wto.org/imrd/directdoc.asp?DDFDocuments/u/G/TBTN23/IDN163A2.docx</v>
      </c>
      <c r="T1237" t="str">
        <f>HYPERLINK("https://docs.wto.org/imrd/directdoc.asp?DDFDocuments/v/G/TBTN23/IDN163A2.docx", "https://docs.wto.org/imrd/directdoc.asp?DDFDocuments/v/G/TBTN23/IDN163A2.docx")</f>
        <v>https://docs.wto.org/imrd/directdoc.asp?DDFDocuments/v/G/TBTN23/IDN163A2.docx</v>
      </c>
      <c r="U1237" t="s">
        <v>64</v>
      </c>
      <c r="V1237" t="s">
        <v>46</v>
      </c>
      <c r="W1237" t="s">
        <v>46</v>
      </c>
      <c r="X1237" t="s">
        <v>46</v>
      </c>
      <c r="Y1237" t="s">
        <v>46</v>
      </c>
      <c r="Z1237" t="s">
        <v>46</v>
      </c>
      <c r="AA1237" t="s">
        <v>46</v>
      </c>
      <c r="AB1237" s="2" t="s">
        <v>43</v>
      </c>
      <c r="AC1237" t="s">
        <v>43</v>
      </c>
      <c r="AD1237" t="s">
        <v>43</v>
      </c>
      <c r="AE1237" t="s">
        <v>43</v>
      </c>
      <c r="AF1237" t="s">
        <v>43</v>
      </c>
      <c r="AG1237" t="s">
        <v>43</v>
      </c>
      <c r="AH1237" s="2" t="s">
        <v>43</v>
      </c>
    </row>
    <row r="1238" spans="1:34" ht="45">
      <c r="A1238" s="6" t="s">
        <v>269</v>
      </c>
      <c r="B1238" s="7">
        <v>46030</v>
      </c>
      <c r="C1238" s="9" t="str">
        <f>HYPERLINK("https://eping.wto.org/en/Search?viewData= G/TBT/N/IDN/183/Add.1"," G/TBT/N/IDN/183/Add.1")</f>
        <v xml:space="preserve"> G/TBT/N/IDN/183/Add.1</v>
      </c>
      <c r="D1238" s="8" t="s">
        <v>4821</v>
      </c>
      <c r="E1238" s="8" t="s">
        <v>4822</v>
      </c>
      <c r="F1238" s="8" t="s">
        <v>4823</v>
      </c>
      <c r="G1238" s="8" t="s">
        <v>43</v>
      </c>
      <c r="H1238" s="8" t="s">
        <v>4824</v>
      </c>
      <c r="I1238" s="8" t="s">
        <v>1114</v>
      </c>
      <c r="J1238" s="8" t="s">
        <v>43</v>
      </c>
      <c r="K1238" s="8" t="s">
        <v>1029</v>
      </c>
      <c r="L1238" s="6"/>
      <c r="M1238" s="7">
        <v>46038</v>
      </c>
      <c r="N1238" s="7"/>
      <c r="O1238" s="7"/>
      <c r="P1238" s="6" t="s">
        <v>44</v>
      </c>
      <c r="Q1238" s="6"/>
      <c r="R1238" t="str">
        <f>HYPERLINK("https://docs.wto.org/imrd/directdoc.asp?DDFDocuments/t/G/TBTN25/IDN183A1.docx", "https://docs.wto.org/imrd/directdoc.asp?DDFDocuments/t/G/TBTN25/IDN183A1.docx")</f>
        <v>https://docs.wto.org/imrd/directdoc.asp?DDFDocuments/t/G/TBTN25/IDN183A1.docx</v>
      </c>
      <c r="S1238" t="str">
        <f>HYPERLINK("https://docs.wto.org/imrd/directdoc.asp?DDFDocuments/u/G/TBTN25/IDN183A1.docx", "https://docs.wto.org/imrd/directdoc.asp?DDFDocuments/u/G/TBTN25/IDN183A1.docx")</f>
        <v>https://docs.wto.org/imrd/directdoc.asp?DDFDocuments/u/G/TBTN25/IDN183A1.docx</v>
      </c>
      <c r="T1238" t="str">
        <f>HYPERLINK("https://docs.wto.org/imrd/directdoc.asp?DDFDocuments/v/G/TBTN25/IDN183A1.docx", "https://docs.wto.org/imrd/directdoc.asp?DDFDocuments/v/G/TBTN25/IDN183A1.docx")</f>
        <v>https://docs.wto.org/imrd/directdoc.asp?DDFDocuments/v/G/TBTN25/IDN183A1.docx</v>
      </c>
      <c r="U1238" t="s">
        <v>46</v>
      </c>
      <c r="V1238" t="s">
        <v>46</v>
      </c>
      <c r="W1238" t="s">
        <v>46</v>
      </c>
      <c r="X1238" t="s">
        <v>46</v>
      </c>
      <c r="Y1238" t="s">
        <v>46</v>
      </c>
      <c r="Z1238" t="s">
        <v>46</v>
      </c>
      <c r="AA1238" t="s">
        <v>46</v>
      </c>
      <c r="AB1238" s="2" t="s">
        <v>43</v>
      </c>
      <c r="AC1238" t="s">
        <v>43</v>
      </c>
      <c r="AD1238" t="s">
        <v>43</v>
      </c>
      <c r="AE1238" t="s">
        <v>43</v>
      </c>
      <c r="AF1238" t="s">
        <v>43</v>
      </c>
      <c r="AG1238" t="s">
        <v>43</v>
      </c>
      <c r="AH1238" s="2" t="s">
        <v>43</v>
      </c>
    </row>
    <row r="1239" spans="1:34" ht="300">
      <c r="A1239" s="6" t="s">
        <v>132</v>
      </c>
      <c r="B1239" s="7">
        <v>46030</v>
      </c>
      <c r="C1239" s="9" t="str">
        <f>HYPERLINK("https://eping.wto.org/en/Search?viewData= G/TBT/N/USA/2230/Add.1"," G/TBT/N/USA/2230/Add.1")</f>
        <v xml:space="preserve"> G/TBT/N/USA/2230/Add.1</v>
      </c>
      <c r="D1239" s="8" t="s">
        <v>4825</v>
      </c>
      <c r="E1239" s="8" t="s">
        <v>4826</v>
      </c>
      <c r="F1239" s="8" t="s">
        <v>4827</v>
      </c>
      <c r="G1239" s="8" t="s">
        <v>43</v>
      </c>
      <c r="H1239" s="8" t="s">
        <v>2390</v>
      </c>
      <c r="I1239" s="8" t="s">
        <v>3973</v>
      </c>
      <c r="J1239" s="8" t="s">
        <v>43</v>
      </c>
      <c r="K1239" s="8" t="s">
        <v>43</v>
      </c>
      <c r="L1239" s="6"/>
      <c r="M1239" s="7" t="s">
        <v>43</v>
      </c>
      <c r="N1239" s="7"/>
      <c r="O1239" s="7"/>
      <c r="P1239" s="6" t="s">
        <v>44</v>
      </c>
      <c r="Q1239" s="8" t="s">
        <v>4828</v>
      </c>
      <c r="R1239" t="str">
        <f>HYPERLINK("https://docs.wto.org/imrd/directdoc.asp?DDFDocuments/t/G/TBTN25/USA2230A1.docx", "https://docs.wto.org/imrd/directdoc.asp?DDFDocuments/t/G/TBTN25/USA2230A1.docx")</f>
        <v>https://docs.wto.org/imrd/directdoc.asp?DDFDocuments/t/G/TBTN25/USA2230A1.docx</v>
      </c>
      <c r="S1239" t="str">
        <f>HYPERLINK("https://docs.wto.org/imrd/directdoc.asp?DDFDocuments/u/G/TBTN25/USA2230A1.docx", "https://docs.wto.org/imrd/directdoc.asp?DDFDocuments/u/G/TBTN25/USA2230A1.docx")</f>
        <v>https://docs.wto.org/imrd/directdoc.asp?DDFDocuments/u/G/TBTN25/USA2230A1.docx</v>
      </c>
      <c r="T1239" t="str">
        <f>HYPERLINK("https://docs.wto.org/imrd/directdoc.asp?DDFDocuments/v/G/TBTN25/USA2230A1.docx", "https://docs.wto.org/imrd/directdoc.asp?DDFDocuments/v/G/TBTN25/USA2230A1.docx")</f>
        <v>https://docs.wto.org/imrd/directdoc.asp?DDFDocuments/v/G/TBTN25/USA2230A1.docx</v>
      </c>
      <c r="U1239" t="s">
        <v>46</v>
      </c>
      <c r="V1239" t="s">
        <v>46</v>
      </c>
      <c r="W1239" t="s">
        <v>46</v>
      </c>
      <c r="X1239" t="s">
        <v>46</v>
      </c>
      <c r="Y1239" t="s">
        <v>46</v>
      </c>
      <c r="Z1239" t="s">
        <v>46</v>
      </c>
      <c r="AA1239" t="s">
        <v>46</v>
      </c>
      <c r="AB1239" s="2" t="s">
        <v>43</v>
      </c>
      <c r="AC1239" t="s">
        <v>43</v>
      </c>
      <c r="AD1239" t="s">
        <v>43</v>
      </c>
      <c r="AE1239" t="s">
        <v>43</v>
      </c>
      <c r="AF1239" t="s">
        <v>43</v>
      </c>
      <c r="AG1239" t="s">
        <v>43</v>
      </c>
      <c r="AH1239" s="2" t="s">
        <v>43</v>
      </c>
    </row>
    <row r="1240" spans="1:34" ht="315">
      <c r="A1240" s="6" t="s">
        <v>132</v>
      </c>
      <c r="B1240" s="7">
        <v>46030</v>
      </c>
      <c r="C1240" s="9" t="str">
        <f>HYPERLINK("https://eping.wto.org/en/Search?viewData= G/TBT/N/USA/2208/Add.1"," G/TBT/N/USA/2208/Add.1")</f>
        <v xml:space="preserve"> G/TBT/N/USA/2208/Add.1</v>
      </c>
      <c r="D1240" s="8" t="s">
        <v>4829</v>
      </c>
      <c r="E1240" s="8" t="s">
        <v>4830</v>
      </c>
      <c r="F1240" s="8" t="s">
        <v>4831</v>
      </c>
      <c r="G1240" s="8" t="s">
        <v>43</v>
      </c>
      <c r="H1240" s="8" t="s">
        <v>2390</v>
      </c>
      <c r="I1240" s="8" t="s">
        <v>137</v>
      </c>
      <c r="J1240" s="8" t="s">
        <v>43</v>
      </c>
      <c r="K1240" s="8" t="s">
        <v>43</v>
      </c>
      <c r="L1240" s="6"/>
      <c r="M1240" s="7" t="s">
        <v>43</v>
      </c>
      <c r="N1240" s="7"/>
      <c r="O1240" s="7"/>
      <c r="P1240" s="6" t="s">
        <v>44</v>
      </c>
      <c r="Q1240" s="8" t="s">
        <v>4832</v>
      </c>
      <c r="R1240" t="str">
        <f>HYPERLINK("https://docs.wto.org/imrd/directdoc.asp?DDFDocuments/t/G/TBTN25/USA2208A1.docx", "https://docs.wto.org/imrd/directdoc.asp?DDFDocuments/t/G/TBTN25/USA2208A1.docx")</f>
        <v>https://docs.wto.org/imrd/directdoc.asp?DDFDocuments/t/G/TBTN25/USA2208A1.docx</v>
      </c>
      <c r="S1240" t="str">
        <f>HYPERLINK("https://docs.wto.org/imrd/directdoc.asp?DDFDocuments/u/G/TBTN25/USA2208A1.docx", "https://docs.wto.org/imrd/directdoc.asp?DDFDocuments/u/G/TBTN25/USA2208A1.docx")</f>
        <v>https://docs.wto.org/imrd/directdoc.asp?DDFDocuments/u/G/TBTN25/USA2208A1.docx</v>
      </c>
      <c r="T1240" t="str">
        <f>HYPERLINK("https://docs.wto.org/imrd/directdoc.asp?DDFDocuments/v/G/TBTN25/USA2208A1.docx", "https://docs.wto.org/imrd/directdoc.asp?DDFDocuments/v/G/TBTN25/USA2208A1.docx")</f>
        <v>https://docs.wto.org/imrd/directdoc.asp?DDFDocuments/v/G/TBTN25/USA2208A1.docx</v>
      </c>
      <c r="U1240" t="s">
        <v>46</v>
      </c>
      <c r="V1240" t="s">
        <v>46</v>
      </c>
      <c r="W1240" t="s">
        <v>46</v>
      </c>
      <c r="X1240" t="s">
        <v>46</v>
      </c>
      <c r="Y1240" t="s">
        <v>46</v>
      </c>
      <c r="Z1240" t="s">
        <v>46</v>
      </c>
      <c r="AA1240" t="s">
        <v>64</v>
      </c>
      <c r="AB1240" s="2" t="s">
        <v>43</v>
      </c>
      <c r="AC1240" t="s">
        <v>43</v>
      </c>
      <c r="AD1240" t="s">
        <v>43</v>
      </c>
      <c r="AE1240" t="s">
        <v>43</v>
      </c>
      <c r="AF1240" t="s">
        <v>43</v>
      </c>
      <c r="AG1240" t="s">
        <v>43</v>
      </c>
      <c r="AH1240" s="2" t="s">
        <v>43</v>
      </c>
    </row>
    <row r="1241" spans="1:34" ht="75">
      <c r="A1241" s="6" t="s">
        <v>289</v>
      </c>
      <c r="B1241" s="7">
        <v>46030</v>
      </c>
      <c r="C1241" s="9" t="str">
        <f>HYPERLINK("https://eping.wto.org/en/Search?viewData= G/SPS/N/BRA/2460"," G/SPS/N/BRA/2460")</f>
        <v xml:space="preserve"> G/SPS/N/BRA/2460</v>
      </c>
      <c r="D1241" s="8" t="s">
        <v>4833</v>
      </c>
      <c r="E1241" s="8" t="s">
        <v>4834</v>
      </c>
      <c r="F1241" s="8" t="s">
        <v>1515</v>
      </c>
      <c r="G1241" s="8" t="s">
        <v>354</v>
      </c>
      <c r="H1241" s="8" t="s">
        <v>1516</v>
      </c>
      <c r="I1241" s="8" t="s">
        <v>58</v>
      </c>
      <c r="J1241" s="8" t="s">
        <v>43</v>
      </c>
      <c r="K1241" s="8" t="s">
        <v>157</v>
      </c>
      <c r="L1241" s="6"/>
      <c r="M1241" s="7">
        <v>46090</v>
      </c>
      <c r="N1241" s="7" t="s">
        <v>1517</v>
      </c>
      <c r="O1241" s="7" t="s">
        <v>1517</v>
      </c>
      <c r="P1241" s="6" t="s">
        <v>62</v>
      </c>
      <c r="Q1241" s="8" t="s">
        <v>4835</v>
      </c>
      <c r="R1241" t="str">
        <f>HYPERLINK("https://docs.wto.org/imrd/directdoc.asp?DDFDocuments/t/G/SPS/NBRA2460.docx", "https://docs.wto.org/imrd/directdoc.asp?DDFDocuments/t/G/SPS/NBRA2460.docx")</f>
        <v>https://docs.wto.org/imrd/directdoc.asp?DDFDocuments/t/G/SPS/NBRA2460.docx</v>
      </c>
      <c r="S1241" t="str">
        <f>HYPERLINK("https://docs.wto.org/imrd/directdoc.asp?DDFDocuments/u/G/SPS/NBRA2460.docx", "https://docs.wto.org/imrd/directdoc.asp?DDFDocuments/u/G/SPS/NBRA2460.docx")</f>
        <v>https://docs.wto.org/imrd/directdoc.asp?DDFDocuments/u/G/SPS/NBRA2460.docx</v>
      </c>
      <c r="T1241" t="str">
        <f>HYPERLINK("https://docs.wto.org/imrd/directdoc.asp?DDFDocuments/v/G/SPS/NBRA2460.docx", "https://docs.wto.org/imrd/directdoc.asp?DDFDocuments/v/G/SPS/NBRA2460.docx")</f>
        <v>https://docs.wto.org/imrd/directdoc.asp?DDFDocuments/v/G/SPS/NBRA2460.docx</v>
      </c>
      <c r="U1241" t="s">
        <v>43</v>
      </c>
      <c r="V1241" t="s">
        <v>43</v>
      </c>
      <c r="W1241" t="s">
        <v>43</v>
      </c>
      <c r="X1241" t="s">
        <v>43</v>
      </c>
      <c r="Y1241" t="s">
        <v>43</v>
      </c>
      <c r="Z1241" t="s">
        <v>43</v>
      </c>
      <c r="AA1241" t="s">
        <v>43</v>
      </c>
      <c r="AB1241" s="2" t="s">
        <v>43</v>
      </c>
      <c r="AC1241" t="s">
        <v>46</v>
      </c>
      <c r="AD1241" t="s">
        <v>46</v>
      </c>
      <c r="AE1241" t="s">
        <v>46</v>
      </c>
      <c r="AF1241" t="s">
        <v>64</v>
      </c>
      <c r="AG1241" t="s">
        <v>99</v>
      </c>
      <c r="AH1241" s="2" t="s">
        <v>43</v>
      </c>
    </row>
    <row r="1242" spans="1:34" ht="60">
      <c r="A1242" s="6" t="s">
        <v>289</v>
      </c>
      <c r="B1242" s="7">
        <v>46030</v>
      </c>
      <c r="C1242" s="9" t="str">
        <f>HYPERLINK("https://eping.wto.org/en/Search?viewData= G/SPS/N/BRA/2434/Add.1"," G/SPS/N/BRA/2434/Add.1")</f>
        <v xml:space="preserve"> G/SPS/N/BRA/2434/Add.1</v>
      </c>
      <c r="D1242" s="8" t="s">
        <v>4836</v>
      </c>
      <c r="E1242" s="8" t="s">
        <v>4837</v>
      </c>
      <c r="F1242" s="8" t="s">
        <v>1515</v>
      </c>
      <c r="G1242" s="8" t="s">
        <v>43</v>
      </c>
      <c r="H1242" s="8" t="s">
        <v>2326</v>
      </c>
      <c r="I1242" s="8" t="s">
        <v>58</v>
      </c>
      <c r="J1242" s="8" t="s">
        <v>43</v>
      </c>
      <c r="K1242" s="8" t="s">
        <v>2910</v>
      </c>
      <c r="L1242" s="6"/>
      <c r="M1242" s="7">
        <v>46090</v>
      </c>
      <c r="N1242" s="7"/>
      <c r="O1242" s="7"/>
      <c r="P1242" s="6" t="s">
        <v>44</v>
      </c>
      <c r="Q1242" s="8" t="s">
        <v>4838</v>
      </c>
      <c r="R1242" t="str">
        <f>HYPERLINK("https://docs.wto.org/imrd/directdoc.asp?DDFDocuments/t/G/SPS/NBRA2434A1.docx", "https://docs.wto.org/imrd/directdoc.asp?DDFDocuments/t/G/SPS/NBRA2434A1.docx")</f>
        <v>https://docs.wto.org/imrd/directdoc.asp?DDFDocuments/t/G/SPS/NBRA2434A1.docx</v>
      </c>
      <c r="S1242" t="str">
        <f>HYPERLINK("https://docs.wto.org/imrd/directdoc.asp?DDFDocuments/u/G/SPS/NBRA2434A1.docx", "https://docs.wto.org/imrd/directdoc.asp?DDFDocuments/u/G/SPS/NBRA2434A1.docx")</f>
        <v>https://docs.wto.org/imrd/directdoc.asp?DDFDocuments/u/G/SPS/NBRA2434A1.docx</v>
      </c>
      <c r="T1242" t="str">
        <f>HYPERLINK("https://docs.wto.org/imrd/directdoc.asp?DDFDocuments/v/G/SPS/NBRA2434A1.docx", "https://docs.wto.org/imrd/directdoc.asp?DDFDocuments/v/G/SPS/NBRA2434A1.docx")</f>
        <v>https://docs.wto.org/imrd/directdoc.asp?DDFDocuments/v/G/SPS/NBRA2434A1.docx</v>
      </c>
      <c r="U1242" t="s">
        <v>43</v>
      </c>
      <c r="V1242" t="s">
        <v>43</v>
      </c>
      <c r="W1242" t="s">
        <v>43</v>
      </c>
      <c r="X1242" t="s">
        <v>43</v>
      </c>
      <c r="Y1242" t="s">
        <v>43</v>
      </c>
      <c r="Z1242" t="s">
        <v>43</v>
      </c>
      <c r="AA1242" t="s">
        <v>43</v>
      </c>
      <c r="AB1242" s="2" t="s">
        <v>43</v>
      </c>
      <c r="AC1242" t="s">
        <v>43</v>
      </c>
      <c r="AD1242" t="s">
        <v>43</v>
      </c>
      <c r="AE1242" t="s">
        <v>43</v>
      </c>
      <c r="AF1242" t="s">
        <v>43</v>
      </c>
      <c r="AG1242" t="s">
        <v>43</v>
      </c>
      <c r="AH1242" s="2" t="s">
        <v>43</v>
      </c>
    </row>
    <row r="1243" spans="1:34" ht="409.5">
      <c r="A1243" s="6" t="s">
        <v>100</v>
      </c>
      <c r="B1243" s="7">
        <v>46030</v>
      </c>
      <c r="C1243" s="9" t="str">
        <f>HYPERLINK("https://eping.wto.org/en/Search?viewData= G/SPS/N/THA/805"," G/SPS/N/THA/805")</f>
        <v xml:space="preserve"> G/SPS/N/THA/805</v>
      </c>
      <c r="D1243" s="8" t="s">
        <v>4839</v>
      </c>
      <c r="E1243" s="8" t="s">
        <v>4840</v>
      </c>
      <c r="F1243" s="8" t="s">
        <v>4841</v>
      </c>
      <c r="G1243" s="8" t="s">
        <v>43</v>
      </c>
      <c r="H1243" s="8" t="s">
        <v>669</v>
      </c>
      <c r="I1243" s="8" t="s">
        <v>58</v>
      </c>
      <c r="J1243" s="8" t="s">
        <v>43</v>
      </c>
      <c r="K1243" s="8" t="s">
        <v>4842</v>
      </c>
      <c r="L1243" s="6" t="s">
        <v>43</v>
      </c>
      <c r="M1243" s="7">
        <v>46090</v>
      </c>
      <c r="N1243" s="7" t="s">
        <v>304</v>
      </c>
      <c r="O1243" s="7" t="s">
        <v>4843</v>
      </c>
      <c r="P1243" s="6" t="s">
        <v>62</v>
      </c>
      <c r="Q1243" s="8" t="s">
        <v>4844</v>
      </c>
      <c r="R1243" t="str">
        <f>HYPERLINK("https://docs.wto.org/imrd/directdoc.asp?DDFDocuments/t/G/SPS/NTHA805.docx", "https://docs.wto.org/imrd/directdoc.asp?DDFDocuments/t/G/SPS/NTHA805.docx")</f>
        <v>https://docs.wto.org/imrd/directdoc.asp?DDFDocuments/t/G/SPS/NTHA805.docx</v>
      </c>
      <c r="S1243" t="str">
        <f>HYPERLINK("https://docs.wto.org/imrd/directdoc.asp?DDFDocuments/u/G/SPS/NTHA805.docx", "https://docs.wto.org/imrd/directdoc.asp?DDFDocuments/u/G/SPS/NTHA805.docx")</f>
        <v>https://docs.wto.org/imrd/directdoc.asp?DDFDocuments/u/G/SPS/NTHA805.docx</v>
      </c>
      <c r="T1243" t="str">
        <f>HYPERLINK("https://docs.wto.org/imrd/directdoc.asp?DDFDocuments/v/G/SPS/NTHA805.docx", "https://docs.wto.org/imrd/directdoc.asp?DDFDocuments/v/G/SPS/NTHA805.docx")</f>
        <v>https://docs.wto.org/imrd/directdoc.asp?DDFDocuments/v/G/SPS/NTHA805.docx</v>
      </c>
      <c r="U1243" t="s">
        <v>43</v>
      </c>
      <c r="V1243" t="s">
        <v>43</v>
      </c>
      <c r="W1243" t="s">
        <v>43</v>
      </c>
      <c r="X1243" t="s">
        <v>43</v>
      </c>
      <c r="Y1243" t="s">
        <v>43</v>
      </c>
      <c r="Z1243" t="s">
        <v>43</v>
      </c>
      <c r="AA1243" t="s">
        <v>43</v>
      </c>
      <c r="AB1243" s="2" t="s">
        <v>43</v>
      </c>
      <c r="AC1243" t="s">
        <v>64</v>
      </c>
      <c r="AD1243" t="s">
        <v>46</v>
      </c>
      <c r="AE1243" t="s">
        <v>46</v>
      </c>
      <c r="AF1243" t="s">
        <v>46</v>
      </c>
      <c r="AG1243" t="s">
        <v>64</v>
      </c>
      <c r="AH1243" s="2" t="s">
        <v>43</v>
      </c>
    </row>
    <row r="1244" spans="1:34" ht="30">
      <c r="A1244" s="6" t="s">
        <v>289</v>
      </c>
      <c r="B1244" s="7">
        <v>46030</v>
      </c>
      <c r="C1244" s="9" t="str">
        <f>HYPERLINK("https://eping.wto.org/en/Search?viewData= G/SPS/N/BRA/2368/Add.1"," G/SPS/N/BRA/2368/Add.1")</f>
        <v xml:space="preserve"> G/SPS/N/BRA/2368/Add.1</v>
      </c>
      <c r="D1244" s="8" t="s">
        <v>4845</v>
      </c>
      <c r="E1244" s="8" t="s">
        <v>4846</v>
      </c>
      <c r="F1244" s="8" t="s">
        <v>4847</v>
      </c>
      <c r="G1244" s="8" t="s">
        <v>43</v>
      </c>
      <c r="H1244" s="8" t="s">
        <v>43</v>
      </c>
      <c r="I1244" s="8" t="s">
        <v>2090</v>
      </c>
      <c r="J1244" s="8" t="s">
        <v>43</v>
      </c>
      <c r="K1244" s="8" t="s">
        <v>4848</v>
      </c>
      <c r="L1244" s="6"/>
      <c r="M1244" s="7">
        <v>46090</v>
      </c>
      <c r="N1244" s="7"/>
      <c r="O1244" s="7"/>
      <c r="P1244" s="6" t="s">
        <v>44</v>
      </c>
      <c r="Q1244" s="8" t="s">
        <v>4849</v>
      </c>
      <c r="R1244" t="str">
        <f>HYPERLINK("https://docs.wto.org/imrd/directdoc.asp?DDFDocuments/t/G/SPS/NBRA2368A1.docx", "https://docs.wto.org/imrd/directdoc.asp?DDFDocuments/t/G/SPS/NBRA2368A1.docx")</f>
        <v>https://docs.wto.org/imrd/directdoc.asp?DDFDocuments/t/G/SPS/NBRA2368A1.docx</v>
      </c>
      <c r="S1244" t="str">
        <f>HYPERLINK("https://docs.wto.org/imrd/directdoc.asp?DDFDocuments/u/G/SPS/NBRA2368A1.docx", "https://docs.wto.org/imrd/directdoc.asp?DDFDocuments/u/G/SPS/NBRA2368A1.docx")</f>
        <v>https://docs.wto.org/imrd/directdoc.asp?DDFDocuments/u/G/SPS/NBRA2368A1.docx</v>
      </c>
      <c r="T1244" t="str">
        <f>HYPERLINK("https://docs.wto.org/imrd/directdoc.asp?DDFDocuments/v/G/SPS/NBRA2368A1.docx", "https://docs.wto.org/imrd/directdoc.asp?DDFDocuments/v/G/SPS/NBRA2368A1.docx")</f>
        <v>https://docs.wto.org/imrd/directdoc.asp?DDFDocuments/v/G/SPS/NBRA2368A1.docx</v>
      </c>
      <c r="U1244" t="s">
        <v>43</v>
      </c>
      <c r="V1244" t="s">
        <v>43</v>
      </c>
      <c r="W1244" t="s">
        <v>43</v>
      </c>
      <c r="X1244" t="s">
        <v>43</v>
      </c>
      <c r="Y1244" t="s">
        <v>43</v>
      </c>
      <c r="Z1244" t="s">
        <v>43</v>
      </c>
      <c r="AA1244" t="s">
        <v>43</v>
      </c>
      <c r="AB1244" s="2" t="s">
        <v>43</v>
      </c>
      <c r="AC1244" t="s">
        <v>43</v>
      </c>
      <c r="AD1244" t="s">
        <v>43</v>
      </c>
      <c r="AE1244" t="s">
        <v>43</v>
      </c>
      <c r="AF1244" t="s">
        <v>43</v>
      </c>
      <c r="AG1244" t="s">
        <v>43</v>
      </c>
      <c r="AH1244" s="2" t="s">
        <v>43</v>
      </c>
    </row>
    <row r="1245" spans="1:34" ht="105">
      <c r="A1245" s="6" t="s">
        <v>146</v>
      </c>
      <c r="B1245" s="7">
        <v>46030</v>
      </c>
      <c r="C1245" s="9" t="str">
        <f>HYPERLINK("https://eping.wto.org/en/Search?viewData= G/TBT/N/CHL/773"," G/TBT/N/CHL/773")</f>
        <v xml:space="preserve"> G/TBT/N/CHL/773</v>
      </c>
      <c r="D1245" s="8" t="s">
        <v>4850</v>
      </c>
      <c r="E1245" s="8" t="s">
        <v>4851</v>
      </c>
      <c r="F1245" s="8" t="s">
        <v>3223</v>
      </c>
      <c r="G1245" s="8" t="s">
        <v>43</v>
      </c>
      <c r="H1245" s="8" t="s">
        <v>395</v>
      </c>
      <c r="I1245" s="8" t="s">
        <v>1124</v>
      </c>
      <c r="J1245" s="8" t="s">
        <v>43</v>
      </c>
      <c r="K1245" s="8" t="s">
        <v>240</v>
      </c>
      <c r="L1245" s="6"/>
      <c r="M1245" s="7">
        <v>46090</v>
      </c>
      <c r="N1245" s="7" t="s">
        <v>877</v>
      </c>
      <c r="O1245" s="7" t="s">
        <v>877</v>
      </c>
      <c r="P1245" s="6" t="s">
        <v>62</v>
      </c>
      <c r="Q1245" s="8" t="s">
        <v>4852</v>
      </c>
      <c r="R1245" t="str">
        <f>HYPERLINK("https://docs.wto.org/imrd/directdoc.asp?DDFDocuments/t/G/TBTN26/CHL773.docx", "https://docs.wto.org/imrd/directdoc.asp?DDFDocuments/t/G/TBTN26/CHL773.docx")</f>
        <v>https://docs.wto.org/imrd/directdoc.asp?DDFDocuments/t/G/TBTN26/CHL773.docx</v>
      </c>
      <c r="S1245" t="str">
        <f>HYPERLINK("https://docs.wto.org/imrd/directdoc.asp?DDFDocuments/u/G/TBTN26/CHL773.docx", "https://docs.wto.org/imrd/directdoc.asp?DDFDocuments/u/G/TBTN26/CHL773.docx")</f>
        <v>https://docs.wto.org/imrd/directdoc.asp?DDFDocuments/u/G/TBTN26/CHL773.docx</v>
      </c>
      <c r="T1245" t="str">
        <f>HYPERLINK("https://docs.wto.org/imrd/directdoc.asp?DDFDocuments/v/G/TBTN26/CHL773.docx", "https://docs.wto.org/imrd/directdoc.asp?DDFDocuments/v/G/TBTN26/CHL773.docx")</f>
        <v>https://docs.wto.org/imrd/directdoc.asp?DDFDocuments/v/G/TBTN26/CHL773.docx</v>
      </c>
      <c r="U1245" t="s">
        <v>64</v>
      </c>
      <c r="V1245" t="s">
        <v>46</v>
      </c>
      <c r="W1245" t="s">
        <v>46</v>
      </c>
      <c r="X1245" t="s">
        <v>46</v>
      </c>
      <c r="Y1245" t="s">
        <v>46</v>
      </c>
      <c r="Z1245" t="s">
        <v>46</v>
      </c>
      <c r="AA1245" t="s">
        <v>46</v>
      </c>
      <c r="AB1245" s="2" t="s">
        <v>4853</v>
      </c>
      <c r="AC1245" t="s">
        <v>43</v>
      </c>
      <c r="AD1245" t="s">
        <v>43</v>
      </c>
      <c r="AE1245" t="s">
        <v>43</v>
      </c>
      <c r="AF1245" t="s">
        <v>43</v>
      </c>
      <c r="AG1245" t="s">
        <v>43</v>
      </c>
      <c r="AH1245" s="2" t="s">
        <v>43</v>
      </c>
    </row>
    <row r="1246" spans="1:34" ht="45">
      <c r="A1246" s="6" t="s">
        <v>904</v>
      </c>
      <c r="B1246" s="7">
        <v>46030</v>
      </c>
      <c r="C1246" s="9" t="str">
        <f>HYPERLINK("https://eping.wto.org/en/Search?viewData= G/SPS/N/MEX/460"," G/SPS/N/MEX/460")</f>
        <v xml:space="preserve"> G/SPS/N/MEX/460</v>
      </c>
      <c r="D1246" s="8" t="s">
        <v>4854</v>
      </c>
      <c r="E1246" s="8" t="s">
        <v>4855</v>
      </c>
      <c r="F1246" s="8" t="s">
        <v>4856</v>
      </c>
      <c r="G1246" s="8" t="s">
        <v>43</v>
      </c>
      <c r="H1246" s="8" t="s">
        <v>43</v>
      </c>
      <c r="I1246" s="8" t="s">
        <v>909</v>
      </c>
      <c r="J1246" s="8" t="s">
        <v>43</v>
      </c>
      <c r="K1246" s="8" t="s">
        <v>4857</v>
      </c>
      <c r="L1246" s="6" t="s">
        <v>4858</v>
      </c>
      <c r="M1246" s="7">
        <v>46090</v>
      </c>
      <c r="N1246" s="7" t="s">
        <v>79</v>
      </c>
      <c r="O1246" s="7" t="s">
        <v>79</v>
      </c>
      <c r="P1246" s="6" t="s">
        <v>62</v>
      </c>
      <c r="Q1246" s="8" t="s">
        <v>4859</v>
      </c>
      <c r="R1246" t="str">
        <f>HYPERLINK("https://docs.wto.org/imrd/directdoc.asp?DDFDocuments/t/G/SPS/NMEX460.docx", "https://docs.wto.org/imrd/directdoc.asp?DDFDocuments/t/G/SPS/NMEX460.docx")</f>
        <v>https://docs.wto.org/imrd/directdoc.asp?DDFDocuments/t/G/SPS/NMEX460.docx</v>
      </c>
      <c r="S1246" t="str">
        <f>HYPERLINK("https://docs.wto.org/imrd/directdoc.asp?DDFDocuments/u/G/SPS/NMEX460.docx", "https://docs.wto.org/imrd/directdoc.asp?DDFDocuments/u/G/SPS/NMEX460.docx")</f>
        <v>https://docs.wto.org/imrd/directdoc.asp?DDFDocuments/u/G/SPS/NMEX460.docx</v>
      </c>
      <c r="T1246" t="str">
        <f>HYPERLINK("https://docs.wto.org/imrd/directdoc.asp?DDFDocuments/v/G/SPS/NMEX460.docx", "https://docs.wto.org/imrd/directdoc.asp?DDFDocuments/v/G/SPS/NMEX460.docx")</f>
        <v>https://docs.wto.org/imrd/directdoc.asp?DDFDocuments/v/G/SPS/NMEX460.docx</v>
      </c>
      <c r="U1246" t="s">
        <v>43</v>
      </c>
      <c r="V1246" t="s">
        <v>43</v>
      </c>
      <c r="W1246" t="s">
        <v>43</v>
      </c>
      <c r="X1246" t="s">
        <v>43</v>
      </c>
      <c r="Y1246" t="s">
        <v>43</v>
      </c>
      <c r="Z1246" t="s">
        <v>43</v>
      </c>
      <c r="AA1246" t="s">
        <v>43</v>
      </c>
      <c r="AB1246" s="2" t="s">
        <v>43</v>
      </c>
      <c r="AC1246" t="s">
        <v>46</v>
      </c>
      <c r="AD1246" t="s">
        <v>46</v>
      </c>
      <c r="AE1246" t="s">
        <v>46</v>
      </c>
      <c r="AF1246" t="s">
        <v>64</v>
      </c>
      <c r="AG1246" t="s">
        <v>99</v>
      </c>
      <c r="AH1246" s="2" t="s">
        <v>43</v>
      </c>
    </row>
    <row r="1247" spans="1:34" ht="90">
      <c r="A1247" s="6" t="s">
        <v>892</v>
      </c>
      <c r="B1247" s="7">
        <v>46030</v>
      </c>
      <c r="C1247" s="9" t="str">
        <f>HYPERLINK("https://eping.wto.org/en/Search?viewData= G/SPS/N/PAN/112"," G/SPS/N/PAN/112")</f>
        <v xml:space="preserve"> G/SPS/N/PAN/112</v>
      </c>
      <c r="D1247" s="8" t="s">
        <v>4860</v>
      </c>
      <c r="E1247" s="8" t="s">
        <v>4861</v>
      </c>
      <c r="F1247" s="8" t="s">
        <v>4862</v>
      </c>
      <c r="G1247" s="8" t="s">
        <v>4863</v>
      </c>
      <c r="H1247" s="8" t="s">
        <v>395</v>
      </c>
      <c r="I1247" s="8" t="s">
        <v>1090</v>
      </c>
      <c r="J1247" s="8" t="s">
        <v>43</v>
      </c>
      <c r="K1247" s="8" t="s">
        <v>157</v>
      </c>
      <c r="L1247" s="6" t="s">
        <v>43</v>
      </c>
      <c r="M1247" s="7">
        <v>46090</v>
      </c>
      <c r="N1247" s="7" t="s">
        <v>79</v>
      </c>
      <c r="O1247" s="7" t="s">
        <v>79</v>
      </c>
      <c r="P1247" s="6" t="s">
        <v>62</v>
      </c>
      <c r="Q1247" s="8" t="s">
        <v>4864</v>
      </c>
      <c r="R1247" t="str">
        <f>HYPERLINK("https://docs.wto.org/imrd/directdoc.asp?DDFDocuments/t/G/SPS/NPAN112.docx", "https://docs.wto.org/imrd/directdoc.asp?DDFDocuments/t/G/SPS/NPAN112.docx")</f>
        <v>https://docs.wto.org/imrd/directdoc.asp?DDFDocuments/t/G/SPS/NPAN112.docx</v>
      </c>
      <c r="S1247" t="str">
        <f>HYPERLINK("https://docs.wto.org/imrd/directdoc.asp?DDFDocuments/u/G/SPS/NPAN112.docx", "https://docs.wto.org/imrd/directdoc.asp?DDFDocuments/u/G/SPS/NPAN112.docx")</f>
        <v>https://docs.wto.org/imrd/directdoc.asp?DDFDocuments/u/G/SPS/NPAN112.docx</v>
      </c>
      <c r="T1247" t="str">
        <f>HYPERLINK("https://docs.wto.org/imrd/directdoc.asp?DDFDocuments/v/G/SPS/NPAN112.docx", "https://docs.wto.org/imrd/directdoc.asp?DDFDocuments/v/G/SPS/NPAN112.docx")</f>
        <v>https://docs.wto.org/imrd/directdoc.asp?DDFDocuments/v/G/SPS/NPAN112.docx</v>
      </c>
      <c r="U1247" t="s">
        <v>43</v>
      </c>
      <c r="V1247" t="s">
        <v>43</v>
      </c>
      <c r="W1247" t="s">
        <v>43</v>
      </c>
      <c r="X1247" t="s">
        <v>43</v>
      </c>
      <c r="Y1247" t="s">
        <v>43</v>
      </c>
      <c r="Z1247" t="s">
        <v>43</v>
      </c>
      <c r="AA1247" t="s">
        <v>43</v>
      </c>
      <c r="AB1247" s="2" t="s">
        <v>43</v>
      </c>
      <c r="AC1247" t="s">
        <v>64</v>
      </c>
      <c r="AD1247" t="s">
        <v>46</v>
      </c>
      <c r="AE1247" t="s">
        <v>46</v>
      </c>
      <c r="AF1247" t="s">
        <v>46</v>
      </c>
      <c r="AG1247" t="s">
        <v>64</v>
      </c>
      <c r="AH1247" s="2" t="s">
        <v>43</v>
      </c>
    </row>
    <row r="1248" spans="1:34" ht="60">
      <c r="A1248" s="6" t="s">
        <v>1649</v>
      </c>
      <c r="B1248" s="7">
        <v>46030</v>
      </c>
      <c r="C1248" s="9" t="str">
        <f>HYPERLINK("https://eping.wto.org/en/Search?viewData= G/SPS/N/VNM/179"," G/SPS/N/VNM/179")</f>
        <v xml:space="preserve"> G/SPS/N/VNM/179</v>
      </c>
      <c r="D1248" s="8" t="s">
        <v>4865</v>
      </c>
      <c r="E1248" s="8" t="s">
        <v>4866</v>
      </c>
      <c r="F1248" s="8" t="s">
        <v>4867</v>
      </c>
      <c r="G1248" s="8" t="s">
        <v>43</v>
      </c>
      <c r="H1248" s="8" t="s">
        <v>43</v>
      </c>
      <c r="I1248" s="8" t="s">
        <v>104</v>
      </c>
      <c r="J1248" s="8" t="s">
        <v>43</v>
      </c>
      <c r="K1248" s="8" t="s">
        <v>530</v>
      </c>
      <c r="L1248" s="6" t="s">
        <v>43</v>
      </c>
      <c r="M1248" s="7">
        <v>46090</v>
      </c>
      <c r="N1248" s="7" t="s">
        <v>304</v>
      </c>
      <c r="O1248" s="7" t="s">
        <v>4868</v>
      </c>
      <c r="P1248" s="6" t="s">
        <v>62</v>
      </c>
      <c r="Q1248" s="8" t="s">
        <v>4869</v>
      </c>
      <c r="R1248" t="str">
        <f>HYPERLINK("https://docs.wto.org/imrd/directdoc.asp?DDFDocuments/t/G/SPS/NVNM179.docx", "https://docs.wto.org/imrd/directdoc.asp?DDFDocuments/t/G/SPS/NVNM179.docx")</f>
        <v>https://docs.wto.org/imrd/directdoc.asp?DDFDocuments/t/G/SPS/NVNM179.docx</v>
      </c>
      <c r="S1248" t="str">
        <f>HYPERLINK("https://docs.wto.org/imrd/directdoc.asp?DDFDocuments/u/G/SPS/NVNM179.docx", "https://docs.wto.org/imrd/directdoc.asp?DDFDocuments/u/G/SPS/NVNM179.docx")</f>
        <v>https://docs.wto.org/imrd/directdoc.asp?DDFDocuments/u/G/SPS/NVNM179.docx</v>
      </c>
      <c r="T1248" t="str">
        <f>HYPERLINK("https://docs.wto.org/imrd/directdoc.asp?DDFDocuments/v/G/SPS/NVNM179.docx", "https://docs.wto.org/imrd/directdoc.asp?DDFDocuments/v/G/SPS/NVNM179.docx")</f>
        <v>https://docs.wto.org/imrd/directdoc.asp?DDFDocuments/v/G/SPS/NVNM179.docx</v>
      </c>
      <c r="U1248" t="s">
        <v>43</v>
      </c>
      <c r="V1248" t="s">
        <v>43</v>
      </c>
      <c r="W1248" t="s">
        <v>43</v>
      </c>
      <c r="X1248" t="s">
        <v>43</v>
      </c>
      <c r="Y1248" t="s">
        <v>43</v>
      </c>
      <c r="Z1248" t="s">
        <v>43</v>
      </c>
      <c r="AA1248" t="s">
        <v>43</v>
      </c>
      <c r="AB1248" s="2" t="s">
        <v>43</v>
      </c>
      <c r="AC1248" t="s">
        <v>46</v>
      </c>
      <c r="AD1248" t="s">
        <v>46</v>
      </c>
      <c r="AE1248" t="s">
        <v>46</v>
      </c>
      <c r="AF1248" t="s">
        <v>64</v>
      </c>
      <c r="AG1248" t="s">
        <v>99</v>
      </c>
      <c r="AH1248" s="2" t="s">
        <v>43</v>
      </c>
    </row>
    <row r="1249" spans="1:34" ht="120">
      <c r="A1249" s="6" t="s">
        <v>289</v>
      </c>
      <c r="B1249" s="7">
        <v>46030</v>
      </c>
      <c r="C1249" s="9" t="str">
        <f>HYPERLINK("https://eping.wto.org/en/Search?viewData= G/SPS/N/BRA/2267/Add.2"," G/SPS/N/BRA/2267/Add.2")</f>
        <v xml:space="preserve"> G/SPS/N/BRA/2267/Add.2</v>
      </c>
      <c r="D1249" s="8" t="s">
        <v>4870</v>
      </c>
      <c r="E1249" s="8" t="s">
        <v>4871</v>
      </c>
      <c r="F1249" s="8" t="s">
        <v>2377</v>
      </c>
      <c r="G1249" s="8" t="s">
        <v>4872</v>
      </c>
      <c r="H1249" s="8" t="s">
        <v>3028</v>
      </c>
      <c r="I1249" s="8" t="s">
        <v>58</v>
      </c>
      <c r="J1249" s="8" t="s">
        <v>43</v>
      </c>
      <c r="K1249" s="8" t="s">
        <v>3113</v>
      </c>
      <c r="L1249" s="6"/>
      <c r="M1249" s="7">
        <v>46090</v>
      </c>
      <c r="N1249" s="7"/>
      <c r="O1249" s="7"/>
      <c r="P1249" s="6" t="s">
        <v>44</v>
      </c>
      <c r="Q1249" s="8" t="s">
        <v>4873</v>
      </c>
      <c r="R1249" t="str">
        <f>HYPERLINK("https://docs.wto.org/imrd/directdoc.asp?DDFDocuments/t/G/SPS/NBRA2267A2.docx", "https://docs.wto.org/imrd/directdoc.asp?DDFDocuments/t/G/SPS/NBRA2267A2.docx")</f>
        <v>https://docs.wto.org/imrd/directdoc.asp?DDFDocuments/t/G/SPS/NBRA2267A2.docx</v>
      </c>
      <c r="S1249" t="str">
        <f>HYPERLINK("https://docs.wto.org/imrd/directdoc.asp?DDFDocuments/u/G/SPS/NBRA2267A2.docx", "https://docs.wto.org/imrd/directdoc.asp?DDFDocuments/u/G/SPS/NBRA2267A2.docx")</f>
        <v>https://docs.wto.org/imrd/directdoc.asp?DDFDocuments/u/G/SPS/NBRA2267A2.docx</v>
      </c>
      <c r="T1249" t="str">
        <f>HYPERLINK("https://docs.wto.org/imrd/directdoc.asp?DDFDocuments/v/G/SPS/NBRA2267A2.docx", "https://docs.wto.org/imrd/directdoc.asp?DDFDocuments/v/G/SPS/NBRA2267A2.docx")</f>
        <v>https://docs.wto.org/imrd/directdoc.asp?DDFDocuments/v/G/SPS/NBRA2267A2.docx</v>
      </c>
      <c r="U1249" t="s">
        <v>43</v>
      </c>
      <c r="V1249" t="s">
        <v>43</v>
      </c>
      <c r="W1249" t="s">
        <v>43</v>
      </c>
      <c r="X1249" t="s">
        <v>43</v>
      </c>
      <c r="Y1249" t="s">
        <v>43</v>
      </c>
      <c r="Z1249" t="s">
        <v>43</v>
      </c>
      <c r="AA1249" t="s">
        <v>43</v>
      </c>
      <c r="AB1249" s="2" t="s">
        <v>43</v>
      </c>
      <c r="AC1249" t="s">
        <v>43</v>
      </c>
      <c r="AD1249" t="s">
        <v>43</v>
      </c>
      <c r="AE1249" t="s">
        <v>43</v>
      </c>
      <c r="AF1249" t="s">
        <v>43</v>
      </c>
      <c r="AG1249" t="s">
        <v>43</v>
      </c>
      <c r="AH1249" s="2" t="s">
        <v>43</v>
      </c>
    </row>
    <row r="1250" spans="1:34" ht="75">
      <c r="A1250" s="6" t="s">
        <v>892</v>
      </c>
      <c r="B1250" s="7">
        <v>46030</v>
      </c>
      <c r="C1250" s="9" t="str">
        <f>HYPERLINK("https://eping.wto.org/en/Search?viewData= G/SPS/N/PAN/108"," G/SPS/N/PAN/108")</f>
        <v xml:space="preserve"> G/SPS/N/PAN/108</v>
      </c>
      <c r="D1250" s="8" t="s">
        <v>4874</v>
      </c>
      <c r="E1250" s="8" t="s">
        <v>4875</v>
      </c>
      <c r="F1250" s="8" t="s">
        <v>4876</v>
      </c>
      <c r="G1250" s="8" t="s">
        <v>367</v>
      </c>
      <c r="H1250" s="8" t="s">
        <v>4877</v>
      </c>
      <c r="I1250" s="8" t="s">
        <v>1090</v>
      </c>
      <c r="J1250" s="8" t="s">
        <v>43</v>
      </c>
      <c r="K1250" s="8" t="s">
        <v>157</v>
      </c>
      <c r="L1250" s="6" t="s">
        <v>43</v>
      </c>
      <c r="M1250" s="7">
        <v>46090</v>
      </c>
      <c r="N1250" s="7" t="s">
        <v>79</v>
      </c>
      <c r="O1250" s="7" t="s">
        <v>79</v>
      </c>
      <c r="P1250" s="6" t="s">
        <v>62</v>
      </c>
      <c r="Q1250" s="8" t="s">
        <v>4878</v>
      </c>
      <c r="R1250" t="str">
        <f>HYPERLINK("https://docs.wto.org/imrd/directdoc.asp?DDFDocuments/t/G/SPS/NPAN108.docx", "https://docs.wto.org/imrd/directdoc.asp?DDFDocuments/t/G/SPS/NPAN108.docx")</f>
        <v>https://docs.wto.org/imrd/directdoc.asp?DDFDocuments/t/G/SPS/NPAN108.docx</v>
      </c>
      <c r="S1250" t="str">
        <f>HYPERLINK("https://docs.wto.org/imrd/directdoc.asp?DDFDocuments/u/G/SPS/NPAN108.docx", "https://docs.wto.org/imrd/directdoc.asp?DDFDocuments/u/G/SPS/NPAN108.docx")</f>
        <v>https://docs.wto.org/imrd/directdoc.asp?DDFDocuments/u/G/SPS/NPAN108.docx</v>
      </c>
      <c r="T1250" t="str">
        <f>HYPERLINK("https://docs.wto.org/imrd/directdoc.asp?DDFDocuments/v/G/SPS/NPAN108.docx", "https://docs.wto.org/imrd/directdoc.asp?DDFDocuments/v/G/SPS/NPAN108.docx")</f>
        <v>https://docs.wto.org/imrd/directdoc.asp?DDFDocuments/v/G/SPS/NPAN108.docx</v>
      </c>
      <c r="U1250" t="s">
        <v>43</v>
      </c>
      <c r="V1250" t="s">
        <v>43</v>
      </c>
      <c r="W1250" t="s">
        <v>43</v>
      </c>
      <c r="X1250" t="s">
        <v>43</v>
      </c>
      <c r="Y1250" t="s">
        <v>43</v>
      </c>
      <c r="Z1250" t="s">
        <v>43</v>
      </c>
      <c r="AA1250" t="s">
        <v>43</v>
      </c>
      <c r="AB1250" s="2" t="s">
        <v>43</v>
      </c>
      <c r="AC1250" t="s">
        <v>64</v>
      </c>
      <c r="AD1250" t="s">
        <v>46</v>
      </c>
      <c r="AE1250" t="s">
        <v>46</v>
      </c>
      <c r="AF1250" t="s">
        <v>46</v>
      </c>
      <c r="AG1250" t="s">
        <v>64</v>
      </c>
      <c r="AH1250" s="2" t="s">
        <v>43</v>
      </c>
    </row>
    <row r="1251" spans="1:34" ht="75">
      <c r="A1251" s="6" t="s">
        <v>892</v>
      </c>
      <c r="B1251" s="7">
        <v>46030</v>
      </c>
      <c r="C1251" s="9" t="str">
        <f>HYPERLINK("https://eping.wto.org/en/Search?viewData= G/SPS/N/PAN/110"," G/SPS/N/PAN/110")</f>
        <v xml:space="preserve"> G/SPS/N/PAN/110</v>
      </c>
      <c r="D1251" s="8" t="s">
        <v>4879</v>
      </c>
      <c r="E1251" s="8" t="s">
        <v>4880</v>
      </c>
      <c r="F1251" s="8" t="s">
        <v>4881</v>
      </c>
      <c r="G1251" s="8" t="s">
        <v>43</v>
      </c>
      <c r="H1251" s="8" t="s">
        <v>4882</v>
      </c>
      <c r="I1251" s="8" t="s">
        <v>1090</v>
      </c>
      <c r="J1251" s="8" t="s">
        <v>43</v>
      </c>
      <c r="K1251" s="8" t="s">
        <v>240</v>
      </c>
      <c r="L1251" s="6" t="s">
        <v>43</v>
      </c>
      <c r="M1251" s="7">
        <v>46090</v>
      </c>
      <c r="N1251" s="7" t="s">
        <v>79</v>
      </c>
      <c r="O1251" s="7" t="s">
        <v>79</v>
      </c>
      <c r="P1251" s="6" t="s">
        <v>62</v>
      </c>
      <c r="Q1251" s="8" t="s">
        <v>4883</v>
      </c>
      <c r="R1251" t="str">
        <f>HYPERLINK("https://docs.wto.org/imrd/directdoc.asp?DDFDocuments/t/G/SPS/NPAN110.docx", "https://docs.wto.org/imrd/directdoc.asp?DDFDocuments/t/G/SPS/NPAN110.docx")</f>
        <v>https://docs.wto.org/imrd/directdoc.asp?DDFDocuments/t/G/SPS/NPAN110.docx</v>
      </c>
      <c r="S1251" t="str">
        <f>HYPERLINK("https://docs.wto.org/imrd/directdoc.asp?DDFDocuments/u/G/SPS/NPAN110.docx", "https://docs.wto.org/imrd/directdoc.asp?DDFDocuments/u/G/SPS/NPAN110.docx")</f>
        <v>https://docs.wto.org/imrd/directdoc.asp?DDFDocuments/u/G/SPS/NPAN110.docx</v>
      </c>
      <c r="T1251" t="str">
        <f>HYPERLINK("https://docs.wto.org/imrd/directdoc.asp?DDFDocuments/v/G/SPS/NPAN110.docx", "https://docs.wto.org/imrd/directdoc.asp?DDFDocuments/v/G/SPS/NPAN110.docx")</f>
        <v>https://docs.wto.org/imrd/directdoc.asp?DDFDocuments/v/G/SPS/NPAN110.docx</v>
      </c>
      <c r="U1251" t="s">
        <v>43</v>
      </c>
      <c r="V1251" t="s">
        <v>43</v>
      </c>
      <c r="W1251" t="s">
        <v>43</v>
      </c>
      <c r="X1251" t="s">
        <v>43</v>
      </c>
      <c r="Y1251" t="s">
        <v>43</v>
      </c>
      <c r="Z1251" t="s">
        <v>43</v>
      </c>
      <c r="AA1251" t="s">
        <v>43</v>
      </c>
      <c r="AB1251" s="2" t="s">
        <v>43</v>
      </c>
      <c r="AC1251" t="s">
        <v>64</v>
      </c>
      <c r="AD1251" t="s">
        <v>46</v>
      </c>
      <c r="AE1251" t="s">
        <v>46</v>
      </c>
      <c r="AF1251" t="s">
        <v>46</v>
      </c>
      <c r="AG1251" t="s">
        <v>64</v>
      </c>
      <c r="AH1251" s="2" t="s">
        <v>43</v>
      </c>
    </row>
    <row r="1252" spans="1:34" ht="60">
      <c r="A1252" s="6" t="s">
        <v>892</v>
      </c>
      <c r="B1252" s="7">
        <v>46030</v>
      </c>
      <c r="C1252" s="9" t="str">
        <f>HYPERLINK("https://eping.wto.org/en/Search?viewData= G/SPS/N/PAN/111"," G/SPS/N/PAN/111")</f>
        <v xml:space="preserve"> G/SPS/N/PAN/111</v>
      </c>
      <c r="D1252" s="8" t="s">
        <v>4884</v>
      </c>
      <c r="E1252" s="8" t="s">
        <v>4885</v>
      </c>
      <c r="F1252" s="8" t="s">
        <v>4862</v>
      </c>
      <c r="G1252" s="8" t="s">
        <v>43</v>
      </c>
      <c r="H1252" s="8" t="s">
        <v>395</v>
      </c>
      <c r="I1252" s="8" t="s">
        <v>1090</v>
      </c>
      <c r="J1252" s="8" t="s">
        <v>43</v>
      </c>
      <c r="K1252" s="8" t="s">
        <v>157</v>
      </c>
      <c r="L1252" s="6" t="s">
        <v>43</v>
      </c>
      <c r="M1252" s="7">
        <v>46090</v>
      </c>
      <c r="N1252" s="7" t="s">
        <v>79</v>
      </c>
      <c r="O1252" s="7" t="s">
        <v>79</v>
      </c>
      <c r="P1252" s="6" t="s">
        <v>62</v>
      </c>
      <c r="Q1252" s="8" t="s">
        <v>4886</v>
      </c>
      <c r="R1252" t="str">
        <f>HYPERLINK("https://docs.wto.org/imrd/directdoc.asp?DDFDocuments/t/G/SPS/NPAN111.docx", "https://docs.wto.org/imrd/directdoc.asp?DDFDocuments/t/G/SPS/NPAN111.docx")</f>
        <v>https://docs.wto.org/imrd/directdoc.asp?DDFDocuments/t/G/SPS/NPAN111.docx</v>
      </c>
      <c r="S1252" t="str">
        <f>HYPERLINK("https://docs.wto.org/imrd/directdoc.asp?DDFDocuments/u/G/SPS/NPAN111.docx", "https://docs.wto.org/imrd/directdoc.asp?DDFDocuments/u/G/SPS/NPAN111.docx")</f>
        <v>https://docs.wto.org/imrd/directdoc.asp?DDFDocuments/u/G/SPS/NPAN111.docx</v>
      </c>
      <c r="T1252" t="str">
        <f>HYPERLINK("https://docs.wto.org/imrd/directdoc.asp?DDFDocuments/v/G/SPS/NPAN111.docx", "https://docs.wto.org/imrd/directdoc.asp?DDFDocuments/v/G/SPS/NPAN111.docx")</f>
        <v>https://docs.wto.org/imrd/directdoc.asp?DDFDocuments/v/G/SPS/NPAN111.docx</v>
      </c>
      <c r="U1252" t="s">
        <v>43</v>
      </c>
      <c r="V1252" t="s">
        <v>43</v>
      </c>
      <c r="W1252" t="s">
        <v>43</v>
      </c>
      <c r="X1252" t="s">
        <v>43</v>
      </c>
      <c r="Y1252" t="s">
        <v>43</v>
      </c>
      <c r="Z1252" t="s">
        <v>43</v>
      </c>
      <c r="AA1252" t="s">
        <v>43</v>
      </c>
      <c r="AB1252" s="2" t="s">
        <v>43</v>
      </c>
      <c r="AC1252" t="s">
        <v>64</v>
      </c>
      <c r="AD1252" t="s">
        <v>46</v>
      </c>
      <c r="AE1252" t="s">
        <v>46</v>
      </c>
      <c r="AF1252" t="s">
        <v>46</v>
      </c>
      <c r="AG1252" t="s">
        <v>64</v>
      </c>
      <c r="AH1252" s="2" t="s">
        <v>43</v>
      </c>
    </row>
    <row r="1253" spans="1:34" ht="409.5">
      <c r="A1253" s="6" t="s">
        <v>100</v>
      </c>
      <c r="B1253" s="7">
        <v>46030</v>
      </c>
      <c r="C1253" s="9" t="str">
        <f>HYPERLINK("https://eping.wto.org/en/Search?viewData= G/TBT/N/THA/799"," G/TBT/N/THA/799")</f>
        <v xml:space="preserve"> G/TBT/N/THA/799</v>
      </c>
      <c r="D1253" s="8" t="s">
        <v>4887</v>
      </c>
      <c r="E1253" s="8" t="s">
        <v>4888</v>
      </c>
      <c r="F1253" s="8" t="s">
        <v>4889</v>
      </c>
      <c r="G1253" s="8" t="s">
        <v>43</v>
      </c>
      <c r="H1253" s="8" t="s">
        <v>669</v>
      </c>
      <c r="I1253" s="8" t="s">
        <v>1246</v>
      </c>
      <c r="J1253" s="8" t="s">
        <v>43</v>
      </c>
      <c r="K1253" s="8" t="s">
        <v>4162</v>
      </c>
      <c r="L1253" s="6"/>
      <c r="M1253" s="7">
        <v>46090</v>
      </c>
      <c r="N1253" s="7" t="s">
        <v>79</v>
      </c>
      <c r="O1253" s="7" t="s">
        <v>4890</v>
      </c>
      <c r="P1253" s="6" t="s">
        <v>62</v>
      </c>
      <c r="Q1253" s="8" t="s">
        <v>4891</v>
      </c>
      <c r="R1253" t="str">
        <f>HYPERLINK("https://docs.wto.org/imrd/directdoc.asp?DDFDocuments/t/G/TBTN26/THA799.docx", "https://docs.wto.org/imrd/directdoc.asp?DDFDocuments/t/G/TBTN26/THA799.docx")</f>
        <v>https://docs.wto.org/imrd/directdoc.asp?DDFDocuments/t/G/TBTN26/THA799.docx</v>
      </c>
      <c r="S1253" t="str">
        <f>HYPERLINK("https://docs.wto.org/imrd/directdoc.asp?DDFDocuments/u/G/TBTN26/THA799.docx", "https://docs.wto.org/imrd/directdoc.asp?DDFDocuments/u/G/TBTN26/THA799.docx")</f>
        <v>https://docs.wto.org/imrd/directdoc.asp?DDFDocuments/u/G/TBTN26/THA799.docx</v>
      </c>
      <c r="T1253" t="str">
        <f>HYPERLINK("https://docs.wto.org/imrd/directdoc.asp?DDFDocuments/v/G/TBTN26/THA799.docx", "https://docs.wto.org/imrd/directdoc.asp?DDFDocuments/v/G/TBTN26/THA799.docx")</f>
        <v>https://docs.wto.org/imrd/directdoc.asp?DDFDocuments/v/G/TBTN26/THA799.docx</v>
      </c>
      <c r="U1253" t="s">
        <v>64</v>
      </c>
      <c r="V1253" t="s">
        <v>46</v>
      </c>
      <c r="W1253" t="s">
        <v>46</v>
      </c>
      <c r="X1253" t="s">
        <v>46</v>
      </c>
      <c r="Y1253" t="s">
        <v>46</v>
      </c>
      <c r="Z1253" t="s">
        <v>46</v>
      </c>
      <c r="AA1253" t="s">
        <v>46</v>
      </c>
      <c r="AB1253" s="2" t="s">
        <v>4892</v>
      </c>
      <c r="AC1253" t="s">
        <v>43</v>
      </c>
      <c r="AD1253" t="s">
        <v>43</v>
      </c>
      <c r="AE1253" t="s">
        <v>43</v>
      </c>
      <c r="AF1253" t="s">
        <v>43</v>
      </c>
      <c r="AG1253" t="s">
        <v>43</v>
      </c>
      <c r="AH1253" s="2" t="s">
        <v>43</v>
      </c>
    </row>
    <row r="1254" spans="1:34" ht="60">
      <c r="A1254" s="6" t="s">
        <v>892</v>
      </c>
      <c r="B1254" s="7">
        <v>46030</v>
      </c>
      <c r="C1254" s="9" t="str">
        <f>HYPERLINK("https://eping.wto.org/en/Search?viewData= G/SPS/N/PAN/107"," G/SPS/N/PAN/107")</f>
        <v xml:space="preserve"> G/SPS/N/PAN/107</v>
      </c>
      <c r="D1254" s="8" t="s">
        <v>4893</v>
      </c>
      <c r="E1254" s="8" t="s">
        <v>4894</v>
      </c>
      <c r="F1254" s="8" t="s">
        <v>4895</v>
      </c>
      <c r="G1254" s="8" t="s">
        <v>4779</v>
      </c>
      <c r="H1254" s="8" t="s">
        <v>1985</v>
      </c>
      <c r="I1254" s="8" t="s">
        <v>1090</v>
      </c>
      <c r="J1254" s="8" t="s">
        <v>43</v>
      </c>
      <c r="K1254" s="8" t="s">
        <v>157</v>
      </c>
      <c r="L1254" s="6" t="s">
        <v>43</v>
      </c>
      <c r="M1254" s="7">
        <v>46090</v>
      </c>
      <c r="N1254" s="7" t="s">
        <v>79</v>
      </c>
      <c r="O1254" s="7" t="s">
        <v>79</v>
      </c>
      <c r="P1254" s="6" t="s">
        <v>62</v>
      </c>
      <c r="Q1254" s="8" t="s">
        <v>4896</v>
      </c>
      <c r="R1254" t="str">
        <f>HYPERLINK("https://docs.wto.org/imrd/directdoc.asp?DDFDocuments/t/G/SPS/NPAN107.docx", "https://docs.wto.org/imrd/directdoc.asp?DDFDocuments/t/G/SPS/NPAN107.docx")</f>
        <v>https://docs.wto.org/imrd/directdoc.asp?DDFDocuments/t/G/SPS/NPAN107.docx</v>
      </c>
      <c r="S1254" t="str">
        <f>HYPERLINK("https://docs.wto.org/imrd/directdoc.asp?DDFDocuments/u/G/SPS/NPAN107.docx", "https://docs.wto.org/imrd/directdoc.asp?DDFDocuments/u/G/SPS/NPAN107.docx")</f>
        <v>https://docs.wto.org/imrd/directdoc.asp?DDFDocuments/u/G/SPS/NPAN107.docx</v>
      </c>
      <c r="T1254" t="str">
        <f>HYPERLINK("https://docs.wto.org/imrd/directdoc.asp?DDFDocuments/v/G/SPS/NPAN107.docx", "https://docs.wto.org/imrd/directdoc.asp?DDFDocuments/v/G/SPS/NPAN107.docx")</f>
        <v>https://docs.wto.org/imrd/directdoc.asp?DDFDocuments/v/G/SPS/NPAN107.docx</v>
      </c>
      <c r="U1254" t="s">
        <v>43</v>
      </c>
      <c r="V1254" t="s">
        <v>43</v>
      </c>
      <c r="W1254" t="s">
        <v>43</v>
      </c>
      <c r="X1254" t="s">
        <v>43</v>
      </c>
      <c r="Y1254" t="s">
        <v>43</v>
      </c>
      <c r="Z1254" t="s">
        <v>43</v>
      </c>
      <c r="AA1254" t="s">
        <v>43</v>
      </c>
      <c r="AB1254" s="2" t="s">
        <v>43</v>
      </c>
      <c r="AC1254" t="s">
        <v>64</v>
      </c>
      <c r="AD1254" t="s">
        <v>46</v>
      </c>
      <c r="AE1254" t="s">
        <v>46</v>
      </c>
      <c r="AF1254" t="s">
        <v>46</v>
      </c>
      <c r="AG1254" t="s">
        <v>64</v>
      </c>
      <c r="AH1254" s="2" t="s">
        <v>43</v>
      </c>
    </row>
    <row r="1255" spans="1:34" ht="300">
      <c r="A1255" s="6" t="s">
        <v>1649</v>
      </c>
      <c r="B1255" s="7">
        <v>46030</v>
      </c>
      <c r="C1255" s="9" t="str">
        <f>HYPERLINK("https://eping.wto.org/en/Search?viewData= G/SPS/N/VNM/177"," G/SPS/N/VNM/177")</f>
        <v xml:space="preserve"> G/SPS/N/VNM/177</v>
      </c>
      <c r="D1255" s="8" t="s">
        <v>4897</v>
      </c>
      <c r="E1255" s="8" t="s">
        <v>4898</v>
      </c>
      <c r="F1255" s="8" t="s">
        <v>4899</v>
      </c>
      <c r="G1255" s="8" t="s">
        <v>273</v>
      </c>
      <c r="H1255" s="8" t="s">
        <v>43</v>
      </c>
      <c r="I1255" s="8" t="s">
        <v>2433</v>
      </c>
      <c r="J1255" s="8" t="s">
        <v>43</v>
      </c>
      <c r="K1255" s="8" t="s">
        <v>95</v>
      </c>
      <c r="L1255" s="6" t="s">
        <v>43</v>
      </c>
      <c r="M1255" s="7">
        <v>46090</v>
      </c>
      <c r="N1255" s="7">
        <v>46077</v>
      </c>
      <c r="O1255" s="7">
        <v>46077</v>
      </c>
      <c r="P1255" s="6" t="s">
        <v>62</v>
      </c>
      <c r="Q1255" s="8" t="s">
        <v>4900</v>
      </c>
      <c r="R1255" t="str">
        <f>HYPERLINK("https://docs.wto.org/imrd/directdoc.asp?DDFDocuments/t/G/SPS/NVNM177.docx", "https://docs.wto.org/imrd/directdoc.asp?DDFDocuments/t/G/SPS/NVNM177.docx")</f>
        <v>https://docs.wto.org/imrd/directdoc.asp?DDFDocuments/t/G/SPS/NVNM177.docx</v>
      </c>
      <c r="S1255" t="str">
        <f>HYPERLINK("https://docs.wto.org/imrd/directdoc.asp?DDFDocuments/u/G/SPS/NVNM177.docx", "https://docs.wto.org/imrd/directdoc.asp?DDFDocuments/u/G/SPS/NVNM177.docx")</f>
        <v>https://docs.wto.org/imrd/directdoc.asp?DDFDocuments/u/G/SPS/NVNM177.docx</v>
      </c>
      <c r="T1255" t="str">
        <f>HYPERLINK("https://docs.wto.org/imrd/directdoc.asp?DDFDocuments/v/G/SPS/NVNM177.docx", "https://docs.wto.org/imrd/directdoc.asp?DDFDocuments/v/G/SPS/NVNM177.docx")</f>
        <v>https://docs.wto.org/imrd/directdoc.asp?DDFDocuments/v/G/SPS/NVNM177.docx</v>
      </c>
      <c r="U1255" t="s">
        <v>43</v>
      </c>
      <c r="V1255" t="s">
        <v>43</v>
      </c>
      <c r="W1255" t="s">
        <v>43</v>
      </c>
      <c r="X1255" t="s">
        <v>43</v>
      </c>
      <c r="Y1255" t="s">
        <v>43</v>
      </c>
      <c r="Z1255" t="s">
        <v>43</v>
      </c>
      <c r="AA1255" t="s">
        <v>43</v>
      </c>
      <c r="AB1255" s="2" t="s">
        <v>43</v>
      </c>
      <c r="AC1255" t="s">
        <v>46</v>
      </c>
      <c r="AD1255" t="s">
        <v>46</v>
      </c>
      <c r="AE1255" t="s">
        <v>46</v>
      </c>
      <c r="AF1255" t="s">
        <v>64</v>
      </c>
      <c r="AG1255" t="s">
        <v>99</v>
      </c>
      <c r="AH1255" s="2" t="s">
        <v>43</v>
      </c>
    </row>
    <row r="1256" spans="1:34" ht="75">
      <c r="A1256" s="6" t="s">
        <v>892</v>
      </c>
      <c r="B1256" s="7">
        <v>46030</v>
      </c>
      <c r="C1256" s="9" t="str">
        <f>HYPERLINK("https://eping.wto.org/en/Search?viewData= G/SPS/N/PAN/104"," G/SPS/N/PAN/104")</f>
        <v xml:space="preserve"> G/SPS/N/PAN/104</v>
      </c>
      <c r="D1256" s="8" t="s">
        <v>4901</v>
      </c>
      <c r="E1256" s="8" t="s">
        <v>4902</v>
      </c>
      <c r="F1256" s="8" t="s">
        <v>1354</v>
      </c>
      <c r="G1256" s="8" t="s">
        <v>4903</v>
      </c>
      <c r="H1256" s="8" t="s">
        <v>431</v>
      </c>
      <c r="I1256" s="8" t="s">
        <v>1090</v>
      </c>
      <c r="J1256" s="8" t="s">
        <v>43</v>
      </c>
      <c r="K1256" s="8" t="s">
        <v>157</v>
      </c>
      <c r="L1256" s="6" t="s">
        <v>43</v>
      </c>
      <c r="M1256" s="7">
        <v>46090</v>
      </c>
      <c r="N1256" s="7" t="s">
        <v>79</v>
      </c>
      <c r="O1256" s="7" t="s">
        <v>79</v>
      </c>
      <c r="P1256" s="6" t="s">
        <v>62</v>
      </c>
      <c r="Q1256" s="8" t="s">
        <v>4904</v>
      </c>
      <c r="R1256" t="str">
        <f>HYPERLINK("https://docs.wto.org/imrd/directdoc.asp?DDFDocuments/t/G/SPS/NPAN104.docx", "https://docs.wto.org/imrd/directdoc.asp?DDFDocuments/t/G/SPS/NPAN104.docx")</f>
        <v>https://docs.wto.org/imrd/directdoc.asp?DDFDocuments/t/G/SPS/NPAN104.docx</v>
      </c>
      <c r="S1256" t="str">
        <f>HYPERLINK("https://docs.wto.org/imrd/directdoc.asp?DDFDocuments/u/G/SPS/NPAN104.docx", "https://docs.wto.org/imrd/directdoc.asp?DDFDocuments/u/G/SPS/NPAN104.docx")</f>
        <v>https://docs.wto.org/imrd/directdoc.asp?DDFDocuments/u/G/SPS/NPAN104.docx</v>
      </c>
      <c r="T1256" t="str">
        <f>HYPERLINK("https://docs.wto.org/imrd/directdoc.asp?DDFDocuments/v/G/SPS/NPAN104.docx", "https://docs.wto.org/imrd/directdoc.asp?DDFDocuments/v/G/SPS/NPAN104.docx")</f>
        <v>https://docs.wto.org/imrd/directdoc.asp?DDFDocuments/v/G/SPS/NPAN104.docx</v>
      </c>
      <c r="U1256" t="s">
        <v>43</v>
      </c>
      <c r="V1256" t="s">
        <v>43</v>
      </c>
      <c r="W1256" t="s">
        <v>43</v>
      </c>
      <c r="X1256" t="s">
        <v>43</v>
      </c>
      <c r="Y1256" t="s">
        <v>43</v>
      </c>
      <c r="Z1256" t="s">
        <v>43</v>
      </c>
      <c r="AA1256" t="s">
        <v>43</v>
      </c>
      <c r="AB1256" s="2" t="s">
        <v>43</v>
      </c>
      <c r="AC1256" t="s">
        <v>64</v>
      </c>
      <c r="AD1256" t="s">
        <v>46</v>
      </c>
      <c r="AE1256" t="s">
        <v>46</v>
      </c>
      <c r="AF1256" t="s">
        <v>46</v>
      </c>
      <c r="AG1256" t="s">
        <v>64</v>
      </c>
      <c r="AH1256" s="2" t="s">
        <v>43</v>
      </c>
    </row>
    <row r="1257" spans="1:34" ht="45">
      <c r="A1257" s="6" t="s">
        <v>892</v>
      </c>
      <c r="B1257" s="7">
        <v>46030</v>
      </c>
      <c r="C1257" s="9" t="str">
        <f>HYPERLINK("https://eping.wto.org/en/Search?viewData= G/SPS/N/PAN/106"," G/SPS/N/PAN/106")</f>
        <v xml:space="preserve"> G/SPS/N/PAN/106</v>
      </c>
      <c r="D1257" s="8" t="s">
        <v>4905</v>
      </c>
      <c r="E1257" s="8" t="s">
        <v>4906</v>
      </c>
      <c r="F1257" s="8" t="s">
        <v>4895</v>
      </c>
      <c r="G1257" s="8" t="s">
        <v>4907</v>
      </c>
      <c r="H1257" s="8" t="s">
        <v>1985</v>
      </c>
      <c r="I1257" s="8" t="s">
        <v>1090</v>
      </c>
      <c r="J1257" s="8" t="s">
        <v>43</v>
      </c>
      <c r="K1257" s="8" t="s">
        <v>157</v>
      </c>
      <c r="L1257" s="6" t="s">
        <v>43</v>
      </c>
      <c r="M1257" s="7">
        <v>46090</v>
      </c>
      <c r="N1257" s="7" t="s">
        <v>79</v>
      </c>
      <c r="O1257" s="7" t="s">
        <v>79</v>
      </c>
      <c r="P1257" s="6" t="s">
        <v>62</v>
      </c>
      <c r="Q1257" s="8" t="s">
        <v>4908</v>
      </c>
      <c r="R1257" t="str">
        <f>HYPERLINK("https://docs.wto.org/imrd/directdoc.asp?DDFDocuments/t/G/SPS/NPAN106.docx", "https://docs.wto.org/imrd/directdoc.asp?DDFDocuments/t/G/SPS/NPAN106.docx")</f>
        <v>https://docs.wto.org/imrd/directdoc.asp?DDFDocuments/t/G/SPS/NPAN106.docx</v>
      </c>
      <c r="S1257" t="str">
        <f>HYPERLINK("https://docs.wto.org/imrd/directdoc.asp?DDFDocuments/u/G/SPS/NPAN106.docx", "https://docs.wto.org/imrd/directdoc.asp?DDFDocuments/u/G/SPS/NPAN106.docx")</f>
        <v>https://docs.wto.org/imrd/directdoc.asp?DDFDocuments/u/G/SPS/NPAN106.docx</v>
      </c>
      <c r="T1257" t="str">
        <f>HYPERLINK("https://docs.wto.org/imrd/directdoc.asp?DDFDocuments/v/G/SPS/NPAN106.docx", "https://docs.wto.org/imrd/directdoc.asp?DDFDocuments/v/G/SPS/NPAN106.docx")</f>
        <v>https://docs.wto.org/imrd/directdoc.asp?DDFDocuments/v/G/SPS/NPAN106.docx</v>
      </c>
      <c r="U1257" t="s">
        <v>43</v>
      </c>
      <c r="V1257" t="s">
        <v>43</v>
      </c>
      <c r="W1257" t="s">
        <v>43</v>
      </c>
      <c r="X1257" t="s">
        <v>43</v>
      </c>
      <c r="Y1257" t="s">
        <v>43</v>
      </c>
      <c r="Z1257" t="s">
        <v>43</v>
      </c>
      <c r="AA1257" t="s">
        <v>43</v>
      </c>
      <c r="AB1257" s="2" t="s">
        <v>43</v>
      </c>
      <c r="AC1257" t="s">
        <v>64</v>
      </c>
      <c r="AD1257" t="s">
        <v>46</v>
      </c>
      <c r="AE1257" t="s">
        <v>46</v>
      </c>
      <c r="AF1257" t="s">
        <v>46</v>
      </c>
      <c r="AG1257" t="s">
        <v>64</v>
      </c>
      <c r="AH1257" s="2" t="s">
        <v>43</v>
      </c>
    </row>
    <row r="1258" spans="1:34" ht="300">
      <c r="A1258" s="6" t="s">
        <v>132</v>
      </c>
      <c r="B1258" s="7">
        <v>46030</v>
      </c>
      <c r="C1258" s="9" t="str">
        <f>HYPERLINK("https://eping.wto.org/en/Search?viewData= G/TBT/N/USA/2176/Add.2"," G/TBT/N/USA/2176/Add.2")</f>
        <v xml:space="preserve"> G/TBT/N/USA/2176/Add.2</v>
      </c>
      <c r="D1258" s="8" t="s">
        <v>4829</v>
      </c>
      <c r="E1258" s="8" t="s">
        <v>4909</v>
      </c>
      <c r="F1258" s="8" t="s">
        <v>4910</v>
      </c>
      <c r="G1258" s="8" t="s">
        <v>43</v>
      </c>
      <c r="H1258" s="8" t="s">
        <v>2390</v>
      </c>
      <c r="I1258" s="8" t="s">
        <v>137</v>
      </c>
      <c r="J1258" s="8" t="s">
        <v>43</v>
      </c>
      <c r="K1258" s="8" t="s">
        <v>43</v>
      </c>
      <c r="L1258" s="6"/>
      <c r="M1258" s="7" t="s">
        <v>43</v>
      </c>
      <c r="N1258" s="7"/>
      <c r="O1258" s="7"/>
      <c r="P1258" s="6" t="s">
        <v>44</v>
      </c>
      <c r="Q1258" s="8" t="s">
        <v>4911</v>
      </c>
      <c r="R1258" t="str">
        <f>HYPERLINK("https://docs.wto.org/imrd/directdoc.asp?DDFDocuments/t/G/TBTN25/USA2176A2.docx", "https://docs.wto.org/imrd/directdoc.asp?DDFDocuments/t/G/TBTN25/USA2176A2.docx")</f>
        <v>https://docs.wto.org/imrd/directdoc.asp?DDFDocuments/t/G/TBTN25/USA2176A2.docx</v>
      </c>
      <c r="S1258" t="str">
        <f>HYPERLINK("https://docs.wto.org/imrd/directdoc.asp?DDFDocuments/u/G/TBTN25/USA2176A2.docx", "https://docs.wto.org/imrd/directdoc.asp?DDFDocuments/u/G/TBTN25/USA2176A2.docx")</f>
        <v>https://docs.wto.org/imrd/directdoc.asp?DDFDocuments/u/G/TBTN25/USA2176A2.docx</v>
      </c>
      <c r="T1258" t="str">
        <f>HYPERLINK("https://docs.wto.org/imrd/directdoc.asp?DDFDocuments/v/G/TBTN25/USA2176A2.docx", "https://docs.wto.org/imrd/directdoc.asp?DDFDocuments/v/G/TBTN25/USA2176A2.docx")</f>
        <v>https://docs.wto.org/imrd/directdoc.asp?DDFDocuments/v/G/TBTN25/USA2176A2.docx</v>
      </c>
      <c r="U1258" t="s">
        <v>46</v>
      </c>
      <c r="V1258" t="s">
        <v>46</v>
      </c>
      <c r="W1258" t="s">
        <v>46</v>
      </c>
      <c r="X1258" t="s">
        <v>46</v>
      </c>
      <c r="Y1258" t="s">
        <v>46</v>
      </c>
      <c r="Z1258" t="s">
        <v>46</v>
      </c>
      <c r="AA1258" t="s">
        <v>64</v>
      </c>
      <c r="AB1258" s="2" t="s">
        <v>43</v>
      </c>
      <c r="AC1258" t="s">
        <v>43</v>
      </c>
      <c r="AD1258" t="s">
        <v>43</v>
      </c>
      <c r="AE1258" t="s">
        <v>43</v>
      </c>
      <c r="AF1258" t="s">
        <v>43</v>
      </c>
      <c r="AG1258" t="s">
        <v>43</v>
      </c>
      <c r="AH1258" s="2" t="s">
        <v>43</v>
      </c>
    </row>
    <row r="1259" spans="1:34" ht="105">
      <c r="A1259" s="6" t="s">
        <v>100</v>
      </c>
      <c r="B1259" s="7">
        <v>46030</v>
      </c>
      <c r="C1259" s="9" t="str">
        <f>HYPERLINK("https://eping.wto.org/en/Search?viewData= G/TBT/N/THA/800"," G/TBT/N/THA/800")</f>
        <v xml:space="preserve"> G/TBT/N/THA/800</v>
      </c>
      <c r="D1259" s="8" t="s">
        <v>4912</v>
      </c>
      <c r="E1259" s="8" t="s">
        <v>4913</v>
      </c>
      <c r="F1259" s="8" t="s">
        <v>4914</v>
      </c>
      <c r="G1259" s="8" t="s">
        <v>4903</v>
      </c>
      <c r="H1259" s="8" t="s">
        <v>4882</v>
      </c>
      <c r="I1259" s="8" t="s">
        <v>281</v>
      </c>
      <c r="J1259" s="8" t="s">
        <v>43</v>
      </c>
      <c r="K1259" s="8" t="s">
        <v>240</v>
      </c>
      <c r="L1259" s="6"/>
      <c r="M1259" s="7">
        <v>46090</v>
      </c>
      <c r="N1259" s="7" t="s">
        <v>79</v>
      </c>
      <c r="O1259" s="7" t="s">
        <v>4890</v>
      </c>
      <c r="P1259" s="6" t="s">
        <v>62</v>
      </c>
      <c r="Q1259" s="8" t="s">
        <v>4915</v>
      </c>
      <c r="R1259" t="str">
        <f>HYPERLINK("https://docs.wto.org/imrd/directdoc.asp?DDFDocuments/t/G/TBTN26/THA800.docx", "https://docs.wto.org/imrd/directdoc.asp?DDFDocuments/t/G/TBTN26/THA800.docx")</f>
        <v>https://docs.wto.org/imrd/directdoc.asp?DDFDocuments/t/G/TBTN26/THA800.docx</v>
      </c>
      <c r="S1259" t="str">
        <f>HYPERLINK("https://docs.wto.org/imrd/directdoc.asp?DDFDocuments/u/G/TBTN26/THA800.docx", "https://docs.wto.org/imrd/directdoc.asp?DDFDocuments/u/G/TBTN26/THA800.docx")</f>
        <v>https://docs.wto.org/imrd/directdoc.asp?DDFDocuments/u/G/TBTN26/THA800.docx</v>
      </c>
      <c r="T1259" t="str">
        <f>HYPERLINK("https://docs.wto.org/imrd/directdoc.asp?DDFDocuments/v/G/TBTN26/THA800.docx", "https://docs.wto.org/imrd/directdoc.asp?DDFDocuments/v/G/TBTN26/THA800.docx")</f>
        <v>https://docs.wto.org/imrd/directdoc.asp?DDFDocuments/v/G/TBTN26/THA800.docx</v>
      </c>
      <c r="U1259" t="s">
        <v>64</v>
      </c>
      <c r="V1259" t="s">
        <v>46</v>
      </c>
      <c r="W1259" t="s">
        <v>46</v>
      </c>
      <c r="X1259" t="s">
        <v>46</v>
      </c>
      <c r="Y1259" t="s">
        <v>46</v>
      </c>
      <c r="Z1259" t="s">
        <v>46</v>
      </c>
      <c r="AA1259" t="s">
        <v>46</v>
      </c>
      <c r="AB1259" s="2" t="s">
        <v>4916</v>
      </c>
      <c r="AC1259" t="s">
        <v>43</v>
      </c>
      <c r="AD1259" t="s">
        <v>43</v>
      </c>
      <c r="AE1259" t="s">
        <v>43</v>
      </c>
      <c r="AF1259" t="s">
        <v>43</v>
      </c>
      <c r="AG1259" t="s">
        <v>43</v>
      </c>
      <c r="AH1259" s="2" t="s">
        <v>43</v>
      </c>
    </row>
    <row r="1260" spans="1:34" ht="150">
      <c r="A1260" s="6" t="s">
        <v>132</v>
      </c>
      <c r="B1260" s="7">
        <v>46030</v>
      </c>
      <c r="C1260" s="9" t="str">
        <f>HYPERLINK("https://eping.wto.org/en/Search?viewData= G/TBT/N/USA/2256"," G/TBT/N/USA/2256")</f>
        <v xml:space="preserve"> G/TBT/N/USA/2256</v>
      </c>
      <c r="D1260" s="8" t="s">
        <v>4917</v>
      </c>
      <c r="E1260" s="8" t="s">
        <v>4918</v>
      </c>
      <c r="F1260" s="8" t="s">
        <v>4919</v>
      </c>
      <c r="G1260" s="8" t="s">
        <v>43</v>
      </c>
      <c r="H1260" s="8" t="s">
        <v>4920</v>
      </c>
      <c r="I1260" s="8" t="s">
        <v>1646</v>
      </c>
      <c r="J1260" s="8" t="s">
        <v>43</v>
      </c>
      <c r="K1260" s="8" t="s">
        <v>43</v>
      </c>
      <c r="L1260" s="6"/>
      <c r="M1260" s="7">
        <v>46084</v>
      </c>
      <c r="N1260" s="7" t="s">
        <v>79</v>
      </c>
      <c r="O1260" s="7" t="s">
        <v>79</v>
      </c>
      <c r="P1260" s="6" t="s">
        <v>62</v>
      </c>
      <c r="Q1260" s="8" t="s">
        <v>4921</v>
      </c>
      <c r="R1260" t="str">
        <f>HYPERLINK("https://docs.wto.org/imrd/directdoc.asp?DDFDocuments/t/G/TBTN26/USA2256.docx", "https://docs.wto.org/imrd/directdoc.asp?DDFDocuments/t/G/TBTN26/USA2256.docx")</f>
        <v>https://docs.wto.org/imrd/directdoc.asp?DDFDocuments/t/G/TBTN26/USA2256.docx</v>
      </c>
      <c r="S1260" t="str">
        <f>HYPERLINK("https://docs.wto.org/imrd/directdoc.asp?DDFDocuments/u/G/TBTN26/USA2256.docx", "https://docs.wto.org/imrd/directdoc.asp?DDFDocuments/u/G/TBTN26/USA2256.docx")</f>
        <v>https://docs.wto.org/imrd/directdoc.asp?DDFDocuments/u/G/TBTN26/USA2256.docx</v>
      </c>
      <c r="T1260" t="str">
        <f>HYPERLINK("https://docs.wto.org/imrd/directdoc.asp?DDFDocuments/v/G/TBTN26/USA2256.docx", "https://docs.wto.org/imrd/directdoc.asp?DDFDocuments/v/G/TBTN26/USA2256.docx")</f>
        <v>https://docs.wto.org/imrd/directdoc.asp?DDFDocuments/v/G/TBTN26/USA2256.docx</v>
      </c>
      <c r="U1260" t="s">
        <v>64</v>
      </c>
      <c r="V1260" t="s">
        <v>46</v>
      </c>
      <c r="W1260" t="s">
        <v>64</v>
      </c>
      <c r="X1260" t="s">
        <v>46</v>
      </c>
      <c r="Y1260" t="s">
        <v>46</v>
      </c>
      <c r="Z1260" t="s">
        <v>46</v>
      </c>
      <c r="AA1260" t="s">
        <v>46</v>
      </c>
      <c r="AB1260" s="2" t="s">
        <v>4922</v>
      </c>
      <c r="AC1260" t="s">
        <v>43</v>
      </c>
      <c r="AD1260" t="s">
        <v>43</v>
      </c>
      <c r="AE1260" t="s">
        <v>43</v>
      </c>
      <c r="AF1260" t="s">
        <v>43</v>
      </c>
      <c r="AG1260" t="s">
        <v>43</v>
      </c>
      <c r="AH1260" s="2" t="s">
        <v>43</v>
      </c>
    </row>
    <row r="1261" spans="1:34" ht="75">
      <c r="A1261" s="6" t="s">
        <v>289</v>
      </c>
      <c r="B1261" s="7">
        <v>46030</v>
      </c>
      <c r="C1261" s="9" t="str">
        <f>HYPERLINK("https://eping.wto.org/en/Search?viewData= G/SPS/N/BRA/2461"," G/SPS/N/BRA/2461")</f>
        <v xml:space="preserve"> G/SPS/N/BRA/2461</v>
      </c>
      <c r="D1261" s="8" t="s">
        <v>4923</v>
      </c>
      <c r="E1261" s="8" t="s">
        <v>4924</v>
      </c>
      <c r="F1261" s="8" t="s">
        <v>1515</v>
      </c>
      <c r="G1261" s="8" t="s">
        <v>43</v>
      </c>
      <c r="H1261" s="8" t="s">
        <v>1516</v>
      </c>
      <c r="I1261" s="8" t="s">
        <v>58</v>
      </c>
      <c r="J1261" s="8" t="s">
        <v>43</v>
      </c>
      <c r="K1261" s="8" t="s">
        <v>43</v>
      </c>
      <c r="L1261" s="6"/>
      <c r="M1261" s="7">
        <v>46090</v>
      </c>
      <c r="N1261" s="7" t="s">
        <v>1517</v>
      </c>
      <c r="O1261" s="7" t="s">
        <v>1517</v>
      </c>
      <c r="P1261" s="6" t="s">
        <v>62</v>
      </c>
      <c r="Q1261" s="8" t="s">
        <v>4925</v>
      </c>
      <c r="R1261" t="str">
        <f>HYPERLINK("https://docs.wto.org/imrd/directdoc.asp?DDFDocuments/t/G/SPS/NBRA2461.docx", "https://docs.wto.org/imrd/directdoc.asp?DDFDocuments/t/G/SPS/NBRA2461.docx")</f>
        <v>https://docs.wto.org/imrd/directdoc.asp?DDFDocuments/t/G/SPS/NBRA2461.docx</v>
      </c>
      <c r="S1261" t="str">
        <f>HYPERLINK("https://docs.wto.org/imrd/directdoc.asp?DDFDocuments/u/G/SPS/NBRA2461.docx", "https://docs.wto.org/imrd/directdoc.asp?DDFDocuments/u/G/SPS/NBRA2461.docx")</f>
        <v>https://docs.wto.org/imrd/directdoc.asp?DDFDocuments/u/G/SPS/NBRA2461.docx</v>
      </c>
      <c r="T1261" t="str">
        <f>HYPERLINK("https://docs.wto.org/imrd/directdoc.asp?DDFDocuments/v/G/SPS/NBRA2461.docx", "https://docs.wto.org/imrd/directdoc.asp?DDFDocuments/v/G/SPS/NBRA2461.docx")</f>
        <v>https://docs.wto.org/imrd/directdoc.asp?DDFDocuments/v/G/SPS/NBRA2461.docx</v>
      </c>
      <c r="U1261" t="s">
        <v>43</v>
      </c>
      <c r="V1261" t="s">
        <v>43</v>
      </c>
      <c r="W1261" t="s">
        <v>43</v>
      </c>
      <c r="X1261" t="s">
        <v>43</v>
      </c>
      <c r="Y1261" t="s">
        <v>43</v>
      </c>
      <c r="Z1261" t="s">
        <v>43</v>
      </c>
      <c r="AA1261" t="s">
        <v>43</v>
      </c>
      <c r="AB1261" s="2" t="s">
        <v>43</v>
      </c>
      <c r="AC1261" t="s">
        <v>46</v>
      </c>
      <c r="AD1261" t="s">
        <v>46</v>
      </c>
      <c r="AE1261" t="s">
        <v>46</v>
      </c>
      <c r="AF1261" t="s">
        <v>64</v>
      </c>
      <c r="AG1261" t="s">
        <v>99</v>
      </c>
      <c r="AH1261" s="2" t="s">
        <v>43</v>
      </c>
    </row>
    <row r="1262" spans="1:34" ht="105">
      <c r="A1262" s="6" t="s">
        <v>100</v>
      </c>
      <c r="B1262" s="7">
        <v>46030</v>
      </c>
      <c r="C1262" s="9" t="str">
        <f>HYPERLINK("https://eping.wto.org/en/Search?viewData= G/SPS/N/THA/806"," G/SPS/N/THA/806")</f>
        <v xml:space="preserve"> G/SPS/N/THA/806</v>
      </c>
      <c r="D1262" s="8" t="s">
        <v>4912</v>
      </c>
      <c r="E1262" s="8" t="s">
        <v>4913</v>
      </c>
      <c r="F1262" s="8" t="s">
        <v>4914</v>
      </c>
      <c r="G1262" s="8" t="s">
        <v>4903</v>
      </c>
      <c r="H1262" s="8" t="s">
        <v>4882</v>
      </c>
      <c r="I1262" s="8" t="s">
        <v>58</v>
      </c>
      <c r="J1262" s="8" t="s">
        <v>43</v>
      </c>
      <c r="K1262" s="8" t="s">
        <v>157</v>
      </c>
      <c r="L1262" s="6" t="s">
        <v>43</v>
      </c>
      <c r="M1262" s="7">
        <v>46090</v>
      </c>
      <c r="N1262" s="7" t="s">
        <v>304</v>
      </c>
      <c r="O1262" s="7" t="s">
        <v>4843</v>
      </c>
      <c r="P1262" s="6" t="s">
        <v>62</v>
      </c>
      <c r="Q1262" s="8" t="s">
        <v>4926</v>
      </c>
      <c r="R1262" t="str">
        <f>HYPERLINK("https://docs.wto.org/imrd/directdoc.asp?DDFDocuments/t/G/SPS/NTHA806.docx", "https://docs.wto.org/imrd/directdoc.asp?DDFDocuments/t/G/SPS/NTHA806.docx")</f>
        <v>https://docs.wto.org/imrd/directdoc.asp?DDFDocuments/t/G/SPS/NTHA806.docx</v>
      </c>
      <c r="S1262" t="str">
        <f>HYPERLINK("https://docs.wto.org/imrd/directdoc.asp?DDFDocuments/u/G/SPS/NTHA806.docx", "https://docs.wto.org/imrd/directdoc.asp?DDFDocuments/u/G/SPS/NTHA806.docx")</f>
        <v>https://docs.wto.org/imrd/directdoc.asp?DDFDocuments/u/G/SPS/NTHA806.docx</v>
      </c>
      <c r="T1262" t="str">
        <f>HYPERLINK("https://docs.wto.org/imrd/directdoc.asp?DDFDocuments/v/G/SPS/NTHA806.docx", "https://docs.wto.org/imrd/directdoc.asp?DDFDocuments/v/G/SPS/NTHA806.docx")</f>
        <v>https://docs.wto.org/imrd/directdoc.asp?DDFDocuments/v/G/SPS/NTHA806.docx</v>
      </c>
      <c r="U1262" t="s">
        <v>43</v>
      </c>
      <c r="V1262" t="s">
        <v>43</v>
      </c>
      <c r="W1262" t="s">
        <v>43</v>
      </c>
      <c r="X1262" t="s">
        <v>43</v>
      </c>
      <c r="Y1262" t="s">
        <v>43</v>
      </c>
      <c r="Z1262" t="s">
        <v>43</v>
      </c>
      <c r="AA1262" t="s">
        <v>43</v>
      </c>
      <c r="AB1262" s="2" t="s">
        <v>43</v>
      </c>
      <c r="AC1262" t="s">
        <v>46</v>
      </c>
      <c r="AD1262" t="s">
        <v>46</v>
      </c>
      <c r="AE1262" t="s">
        <v>46</v>
      </c>
      <c r="AF1262" t="s">
        <v>64</v>
      </c>
      <c r="AG1262" t="s">
        <v>99</v>
      </c>
      <c r="AH1262" s="2" t="s">
        <v>43</v>
      </c>
    </row>
    <row r="1263" spans="1:34" ht="90">
      <c r="A1263" s="6" t="s">
        <v>289</v>
      </c>
      <c r="B1263" s="7">
        <v>46030</v>
      </c>
      <c r="C1263" s="9" t="str">
        <f>HYPERLINK("https://eping.wto.org/en/Search?viewData= G/SPS/N/BRA/2430/Add.1"," G/SPS/N/BRA/2430/Add.1")</f>
        <v xml:space="preserve"> G/SPS/N/BRA/2430/Add.1</v>
      </c>
      <c r="D1263" s="8" t="s">
        <v>4927</v>
      </c>
      <c r="E1263" s="8" t="s">
        <v>4928</v>
      </c>
      <c r="F1263" s="8" t="s">
        <v>1515</v>
      </c>
      <c r="G1263" s="8" t="s">
        <v>43</v>
      </c>
      <c r="H1263" s="8" t="s">
        <v>2326</v>
      </c>
      <c r="I1263" s="8" t="s">
        <v>58</v>
      </c>
      <c r="J1263" s="8" t="s">
        <v>43</v>
      </c>
      <c r="K1263" s="8" t="s">
        <v>3113</v>
      </c>
      <c r="L1263" s="6"/>
      <c r="M1263" s="7">
        <v>46090</v>
      </c>
      <c r="N1263" s="7"/>
      <c r="O1263" s="7"/>
      <c r="P1263" s="6" t="s">
        <v>44</v>
      </c>
      <c r="Q1263" s="8" t="s">
        <v>4929</v>
      </c>
      <c r="R1263" t="str">
        <f>HYPERLINK("https://docs.wto.org/imrd/directdoc.asp?DDFDocuments/t/G/SPS/NBRA2430A1.docx", "https://docs.wto.org/imrd/directdoc.asp?DDFDocuments/t/G/SPS/NBRA2430A1.docx")</f>
        <v>https://docs.wto.org/imrd/directdoc.asp?DDFDocuments/t/G/SPS/NBRA2430A1.docx</v>
      </c>
      <c r="S1263" t="str">
        <f>HYPERLINK("https://docs.wto.org/imrd/directdoc.asp?DDFDocuments/u/G/SPS/NBRA2430A1.docx", "https://docs.wto.org/imrd/directdoc.asp?DDFDocuments/u/G/SPS/NBRA2430A1.docx")</f>
        <v>https://docs.wto.org/imrd/directdoc.asp?DDFDocuments/u/G/SPS/NBRA2430A1.docx</v>
      </c>
      <c r="T1263" t="str">
        <f>HYPERLINK("https://docs.wto.org/imrd/directdoc.asp?DDFDocuments/v/G/SPS/NBRA2430A1.docx", "https://docs.wto.org/imrd/directdoc.asp?DDFDocuments/v/G/SPS/NBRA2430A1.docx")</f>
        <v>https://docs.wto.org/imrd/directdoc.asp?DDFDocuments/v/G/SPS/NBRA2430A1.docx</v>
      </c>
      <c r="U1263" t="s">
        <v>43</v>
      </c>
      <c r="V1263" t="s">
        <v>43</v>
      </c>
      <c r="W1263" t="s">
        <v>43</v>
      </c>
      <c r="X1263" t="s">
        <v>43</v>
      </c>
      <c r="Y1263" t="s">
        <v>43</v>
      </c>
      <c r="Z1263" t="s">
        <v>43</v>
      </c>
      <c r="AA1263" t="s">
        <v>43</v>
      </c>
      <c r="AB1263" s="2" t="s">
        <v>43</v>
      </c>
      <c r="AC1263" t="s">
        <v>43</v>
      </c>
      <c r="AD1263" t="s">
        <v>43</v>
      </c>
      <c r="AE1263" t="s">
        <v>43</v>
      </c>
      <c r="AF1263" t="s">
        <v>43</v>
      </c>
      <c r="AG1263" t="s">
        <v>43</v>
      </c>
      <c r="AH1263" s="2" t="s">
        <v>43</v>
      </c>
    </row>
    <row r="1264" spans="1:34" ht="30">
      <c r="A1264" s="6" t="s">
        <v>325</v>
      </c>
      <c r="B1264" s="7">
        <v>46030</v>
      </c>
      <c r="C1264" s="9" t="str">
        <f>HYPERLINK("https://eping.wto.org/en/Search?viewData= G/TBT/N/TPKM/586"," G/TBT/N/TPKM/586")</f>
        <v xml:space="preserve"> G/TBT/N/TPKM/586</v>
      </c>
      <c r="D1264" s="8" t="s">
        <v>4930</v>
      </c>
      <c r="E1264" s="8" t="s">
        <v>4931</v>
      </c>
      <c r="F1264" s="8" t="s">
        <v>2867</v>
      </c>
      <c r="G1264" s="8" t="s">
        <v>43</v>
      </c>
      <c r="H1264" s="8" t="s">
        <v>453</v>
      </c>
      <c r="I1264" s="8" t="s">
        <v>275</v>
      </c>
      <c r="J1264" s="8" t="s">
        <v>43</v>
      </c>
      <c r="K1264" s="8" t="s">
        <v>4162</v>
      </c>
      <c r="L1264" s="6"/>
      <c r="M1264" s="7">
        <v>46090</v>
      </c>
      <c r="N1264" s="7" t="s">
        <v>79</v>
      </c>
      <c r="O1264" s="7" t="s">
        <v>79</v>
      </c>
      <c r="P1264" s="6" t="s">
        <v>62</v>
      </c>
      <c r="Q1264" s="8" t="s">
        <v>4932</v>
      </c>
      <c r="R1264" t="str">
        <f>HYPERLINK("https://docs.wto.org/imrd/directdoc.asp?DDFDocuments/t/G/TBTN26/TPKM586.docx", "https://docs.wto.org/imrd/directdoc.asp?DDFDocuments/t/G/TBTN26/TPKM586.docx")</f>
        <v>https://docs.wto.org/imrd/directdoc.asp?DDFDocuments/t/G/TBTN26/TPKM586.docx</v>
      </c>
      <c r="S1264" t="str">
        <f>HYPERLINK("https://docs.wto.org/imrd/directdoc.asp?DDFDocuments/u/G/TBTN26/TPKM586.docx", "https://docs.wto.org/imrd/directdoc.asp?DDFDocuments/u/G/TBTN26/TPKM586.docx")</f>
        <v>https://docs.wto.org/imrd/directdoc.asp?DDFDocuments/u/G/TBTN26/TPKM586.docx</v>
      </c>
      <c r="T1264" t="str">
        <f>HYPERLINK("https://docs.wto.org/imrd/directdoc.asp?DDFDocuments/v/G/TBTN26/TPKM586.docx", "https://docs.wto.org/imrd/directdoc.asp?DDFDocuments/v/G/TBTN26/TPKM586.docx")</f>
        <v>https://docs.wto.org/imrd/directdoc.asp?DDFDocuments/v/G/TBTN26/TPKM586.docx</v>
      </c>
      <c r="U1264" t="s">
        <v>64</v>
      </c>
      <c r="V1264" t="s">
        <v>46</v>
      </c>
      <c r="W1264" t="s">
        <v>46</v>
      </c>
      <c r="X1264" t="s">
        <v>46</v>
      </c>
      <c r="Y1264" t="s">
        <v>46</v>
      </c>
      <c r="Z1264" t="s">
        <v>46</v>
      </c>
      <c r="AA1264" t="s">
        <v>46</v>
      </c>
      <c r="AB1264" s="2" t="s">
        <v>4933</v>
      </c>
      <c r="AC1264" t="s">
        <v>43</v>
      </c>
      <c r="AD1264" t="s">
        <v>43</v>
      </c>
      <c r="AE1264" t="s">
        <v>43</v>
      </c>
      <c r="AF1264" t="s">
        <v>43</v>
      </c>
      <c r="AG1264" t="s">
        <v>43</v>
      </c>
      <c r="AH1264" s="2" t="s">
        <v>43</v>
      </c>
    </row>
    <row r="1265" spans="1:34" ht="75">
      <c r="A1265" s="6" t="s">
        <v>892</v>
      </c>
      <c r="B1265" s="7">
        <v>46030</v>
      </c>
      <c r="C1265" s="9" t="str">
        <f>HYPERLINK("https://eping.wto.org/en/Search?viewData= G/SPS/N/PAN/109"," G/SPS/N/PAN/109")</f>
        <v xml:space="preserve"> G/SPS/N/PAN/109</v>
      </c>
      <c r="D1265" s="8" t="s">
        <v>4934</v>
      </c>
      <c r="E1265" s="8" t="s">
        <v>4935</v>
      </c>
      <c r="F1265" s="8" t="s">
        <v>4936</v>
      </c>
      <c r="G1265" s="8" t="s">
        <v>4937</v>
      </c>
      <c r="H1265" s="8" t="s">
        <v>2589</v>
      </c>
      <c r="I1265" s="8" t="s">
        <v>1090</v>
      </c>
      <c r="J1265" s="8" t="s">
        <v>43</v>
      </c>
      <c r="K1265" s="8" t="s">
        <v>157</v>
      </c>
      <c r="L1265" s="6" t="s">
        <v>43</v>
      </c>
      <c r="M1265" s="7">
        <v>46090</v>
      </c>
      <c r="N1265" s="7" t="s">
        <v>79</v>
      </c>
      <c r="O1265" s="7" t="s">
        <v>79</v>
      </c>
      <c r="P1265" s="6" t="s">
        <v>62</v>
      </c>
      <c r="Q1265" s="8" t="s">
        <v>4938</v>
      </c>
      <c r="R1265" t="str">
        <f>HYPERLINK("https://docs.wto.org/imrd/directdoc.asp?DDFDocuments/t/G/SPS/NPAN109.docx", "https://docs.wto.org/imrd/directdoc.asp?DDFDocuments/t/G/SPS/NPAN109.docx")</f>
        <v>https://docs.wto.org/imrd/directdoc.asp?DDFDocuments/t/G/SPS/NPAN109.docx</v>
      </c>
      <c r="S1265" t="str">
        <f>HYPERLINK("https://docs.wto.org/imrd/directdoc.asp?DDFDocuments/u/G/SPS/NPAN109.docx", "https://docs.wto.org/imrd/directdoc.asp?DDFDocuments/u/G/SPS/NPAN109.docx")</f>
        <v>https://docs.wto.org/imrd/directdoc.asp?DDFDocuments/u/G/SPS/NPAN109.docx</v>
      </c>
      <c r="T1265" t="str">
        <f>HYPERLINK("https://docs.wto.org/imrd/directdoc.asp?DDFDocuments/v/G/SPS/NPAN109.docx", "https://docs.wto.org/imrd/directdoc.asp?DDFDocuments/v/G/SPS/NPAN109.docx")</f>
        <v>https://docs.wto.org/imrd/directdoc.asp?DDFDocuments/v/G/SPS/NPAN109.docx</v>
      </c>
      <c r="U1265" t="s">
        <v>43</v>
      </c>
      <c r="V1265" t="s">
        <v>43</v>
      </c>
      <c r="W1265" t="s">
        <v>43</v>
      </c>
      <c r="X1265" t="s">
        <v>43</v>
      </c>
      <c r="Y1265" t="s">
        <v>43</v>
      </c>
      <c r="Z1265" t="s">
        <v>43</v>
      </c>
      <c r="AA1265" t="s">
        <v>43</v>
      </c>
      <c r="AB1265" s="2" t="s">
        <v>43</v>
      </c>
      <c r="AC1265" t="s">
        <v>64</v>
      </c>
      <c r="AD1265" t="s">
        <v>46</v>
      </c>
      <c r="AE1265" t="s">
        <v>46</v>
      </c>
      <c r="AF1265" t="s">
        <v>46</v>
      </c>
      <c r="AG1265" t="s">
        <v>64</v>
      </c>
      <c r="AH1265" s="2" t="s">
        <v>43</v>
      </c>
    </row>
    <row r="1266" spans="1:34" ht="255">
      <c r="A1266" s="6" t="s">
        <v>100</v>
      </c>
      <c r="B1266" s="7">
        <v>46029</v>
      </c>
      <c r="C1266" s="9" t="str">
        <f>HYPERLINK("https://eping.wto.org/en/Search?viewData= G/SPS/N/THA/216/Add.5"," G/SPS/N/THA/216/Add.5")</f>
        <v xml:space="preserve"> G/SPS/N/THA/216/Add.5</v>
      </c>
      <c r="D1266" s="8" t="s">
        <v>4939</v>
      </c>
      <c r="E1266" s="8" t="s">
        <v>4940</v>
      </c>
      <c r="F1266" s="8" t="s">
        <v>4941</v>
      </c>
      <c r="G1266" s="8" t="s">
        <v>4942</v>
      </c>
      <c r="H1266" s="8" t="s">
        <v>2752</v>
      </c>
      <c r="I1266" s="8" t="s">
        <v>58</v>
      </c>
      <c r="J1266" s="8"/>
      <c r="K1266" s="8" t="s">
        <v>4943</v>
      </c>
      <c r="L1266" s="6"/>
      <c r="M1266" s="7" t="s">
        <v>43</v>
      </c>
      <c r="N1266" s="7"/>
      <c r="O1266" s="7"/>
      <c r="P1266" s="6" t="s">
        <v>44</v>
      </c>
      <c r="Q1266" s="8" t="s">
        <v>4944</v>
      </c>
      <c r="R1266" t="str">
        <f>HYPERLINK("https://docs.wto.org/imrd/directdoc.asp?DDFDocuments/t/G/SPS/NTHA216A5.docx", "https://docs.wto.org/imrd/directdoc.asp?DDFDocuments/t/G/SPS/NTHA216A5.docx")</f>
        <v>https://docs.wto.org/imrd/directdoc.asp?DDFDocuments/t/G/SPS/NTHA216A5.docx</v>
      </c>
      <c r="S1266" t="str">
        <f>HYPERLINK("https://docs.wto.org/imrd/directdoc.asp?DDFDocuments/u/G/SPS/NTHA216A5.docx", "https://docs.wto.org/imrd/directdoc.asp?DDFDocuments/u/G/SPS/NTHA216A5.docx")</f>
        <v>https://docs.wto.org/imrd/directdoc.asp?DDFDocuments/u/G/SPS/NTHA216A5.docx</v>
      </c>
      <c r="T1266" t="str">
        <f>HYPERLINK("https://docs.wto.org/imrd/directdoc.asp?DDFDocuments/v/G/SPS/NTHA216A5.docx", "https://docs.wto.org/imrd/directdoc.asp?DDFDocuments/v/G/SPS/NTHA216A5.docx")</f>
        <v>https://docs.wto.org/imrd/directdoc.asp?DDFDocuments/v/G/SPS/NTHA216A5.docx</v>
      </c>
      <c r="U1266" t="s">
        <v>43</v>
      </c>
      <c r="V1266" t="s">
        <v>43</v>
      </c>
      <c r="W1266" t="s">
        <v>43</v>
      </c>
      <c r="X1266" t="s">
        <v>43</v>
      </c>
      <c r="Y1266" t="s">
        <v>43</v>
      </c>
      <c r="Z1266" t="s">
        <v>43</v>
      </c>
      <c r="AA1266" t="s">
        <v>43</v>
      </c>
      <c r="AB1266" s="2" t="s">
        <v>43</v>
      </c>
      <c r="AC1266" t="s">
        <v>43</v>
      </c>
      <c r="AD1266" t="s">
        <v>43</v>
      </c>
      <c r="AE1266" t="s">
        <v>43</v>
      </c>
      <c r="AF1266" t="s">
        <v>43</v>
      </c>
      <c r="AG1266" t="s">
        <v>43</v>
      </c>
      <c r="AH1266" s="2" t="s">
        <v>43</v>
      </c>
    </row>
    <row r="1267" spans="1:34" ht="45">
      <c r="A1267" s="6" t="s">
        <v>892</v>
      </c>
      <c r="B1267" s="7">
        <v>46029</v>
      </c>
      <c r="C1267" s="9" t="str">
        <f>HYPERLINK("https://eping.wto.org/en/Search?viewData= G/SPS/N/PAN/93"," G/SPS/N/PAN/93")</f>
        <v xml:space="preserve"> G/SPS/N/PAN/93</v>
      </c>
      <c r="D1267" s="8" t="s">
        <v>4945</v>
      </c>
      <c r="E1267" s="8" t="s">
        <v>4946</v>
      </c>
      <c r="F1267" s="8" t="s">
        <v>4881</v>
      </c>
      <c r="G1267" s="8" t="s">
        <v>1405</v>
      </c>
      <c r="H1267" s="8" t="s">
        <v>4882</v>
      </c>
      <c r="I1267" s="8" t="s">
        <v>1090</v>
      </c>
      <c r="J1267" s="8" t="s">
        <v>43</v>
      </c>
      <c r="K1267" s="8" t="s">
        <v>157</v>
      </c>
      <c r="L1267" s="6" t="s">
        <v>43</v>
      </c>
      <c r="M1267" s="7">
        <v>46089</v>
      </c>
      <c r="N1267" s="7" t="s">
        <v>79</v>
      </c>
      <c r="O1267" s="7" t="s">
        <v>79</v>
      </c>
      <c r="P1267" s="6" t="s">
        <v>62</v>
      </c>
      <c r="Q1267" s="8" t="s">
        <v>4947</v>
      </c>
      <c r="R1267" t="str">
        <f>HYPERLINK("https://docs.wto.org/imrd/directdoc.asp?DDFDocuments/t/G/SPS/NPAN93.docx", "https://docs.wto.org/imrd/directdoc.asp?DDFDocuments/t/G/SPS/NPAN93.docx")</f>
        <v>https://docs.wto.org/imrd/directdoc.asp?DDFDocuments/t/G/SPS/NPAN93.docx</v>
      </c>
      <c r="S1267" t="str">
        <f>HYPERLINK("https://docs.wto.org/imrd/directdoc.asp?DDFDocuments/u/G/SPS/NPAN93.docx", "https://docs.wto.org/imrd/directdoc.asp?DDFDocuments/u/G/SPS/NPAN93.docx")</f>
        <v>https://docs.wto.org/imrd/directdoc.asp?DDFDocuments/u/G/SPS/NPAN93.docx</v>
      </c>
      <c r="T1267" t="str">
        <f>HYPERLINK("https://docs.wto.org/imrd/directdoc.asp?DDFDocuments/v/G/SPS/NPAN93.docx", "https://docs.wto.org/imrd/directdoc.asp?DDFDocuments/v/G/SPS/NPAN93.docx")</f>
        <v>https://docs.wto.org/imrd/directdoc.asp?DDFDocuments/v/G/SPS/NPAN93.docx</v>
      </c>
      <c r="U1267" t="s">
        <v>43</v>
      </c>
      <c r="V1267" t="s">
        <v>43</v>
      </c>
      <c r="W1267" t="s">
        <v>43</v>
      </c>
      <c r="X1267" t="s">
        <v>43</v>
      </c>
      <c r="Y1267" t="s">
        <v>43</v>
      </c>
      <c r="Z1267" t="s">
        <v>43</v>
      </c>
      <c r="AA1267" t="s">
        <v>43</v>
      </c>
      <c r="AB1267" s="2" t="s">
        <v>43</v>
      </c>
      <c r="AC1267" t="s">
        <v>64</v>
      </c>
      <c r="AD1267" t="s">
        <v>46</v>
      </c>
      <c r="AE1267" t="s">
        <v>46</v>
      </c>
      <c r="AF1267" t="s">
        <v>46</v>
      </c>
      <c r="AG1267" t="s">
        <v>64</v>
      </c>
      <c r="AH1267" s="2" t="s">
        <v>43</v>
      </c>
    </row>
    <row r="1268" spans="1:34" ht="60">
      <c r="A1268" s="6" t="s">
        <v>892</v>
      </c>
      <c r="B1268" s="7">
        <v>46029</v>
      </c>
      <c r="C1268" s="9" t="str">
        <f>HYPERLINK("https://eping.wto.org/en/Search?viewData= G/SPS/N/PAN/94"," G/SPS/N/PAN/94")</f>
        <v xml:space="preserve"> G/SPS/N/PAN/94</v>
      </c>
      <c r="D1268" s="8" t="s">
        <v>4948</v>
      </c>
      <c r="E1268" s="8" t="s">
        <v>4949</v>
      </c>
      <c r="F1268" s="8" t="s">
        <v>1404</v>
      </c>
      <c r="G1268" s="8" t="s">
        <v>4950</v>
      </c>
      <c r="H1268" s="8" t="s">
        <v>1406</v>
      </c>
      <c r="I1268" s="8" t="s">
        <v>1090</v>
      </c>
      <c r="J1268" s="8" t="s">
        <v>43</v>
      </c>
      <c r="K1268" s="8" t="s">
        <v>310</v>
      </c>
      <c r="L1268" s="6" t="s">
        <v>43</v>
      </c>
      <c r="M1268" s="7">
        <v>46089</v>
      </c>
      <c r="N1268" s="7" t="s">
        <v>79</v>
      </c>
      <c r="O1268" s="7" t="s">
        <v>79</v>
      </c>
      <c r="P1268" s="6" t="s">
        <v>62</v>
      </c>
      <c r="Q1268" s="8" t="s">
        <v>4951</v>
      </c>
      <c r="R1268" t="str">
        <f>HYPERLINK("https://docs.wto.org/imrd/directdoc.asp?DDFDocuments/t/G/SPS/NPAN94.docx", "https://docs.wto.org/imrd/directdoc.asp?DDFDocuments/t/G/SPS/NPAN94.docx")</f>
        <v>https://docs.wto.org/imrd/directdoc.asp?DDFDocuments/t/G/SPS/NPAN94.docx</v>
      </c>
      <c r="S1268" t="str">
        <f>HYPERLINK("https://docs.wto.org/imrd/directdoc.asp?DDFDocuments/u/G/SPS/NPAN94.docx", "https://docs.wto.org/imrd/directdoc.asp?DDFDocuments/u/G/SPS/NPAN94.docx")</f>
        <v>https://docs.wto.org/imrd/directdoc.asp?DDFDocuments/u/G/SPS/NPAN94.docx</v>
      </c>
      <c r="T1268" t="str">
        <f>HYPERLINK("https://docs.wto.org/imrd/directdoc.asp?DDFDocuments/v/G/SPS/NPAN94.docx", "https://docs.wto.org/imrd/directdoc.asp?DDFDocuments/v/G/SPS/NPAN94.docx")</f>
        <v>https://docs.wto.org/imrd/directdoc.asp?DDFDocuments/v/G/SPS/NPAN94.docx</v>
      </c>
      <c r="U1268" t="s">
        <v>43</v>
      </c>
      <c r="V1268" t="s">
        <v>43</v>
      </c>
      <c r="W1268" t="s">
        <v>43</v>
      </c>
      <c r="X1268" t="s">
        <v>43</v>
      </c>
      <c r="Y1268" t="s">
        <v>43</v>
      </c>
      <c r="Z1268" t="s">
        <v>43</v>
      </c>
      <c r="AA1268" t="s">
        <v>43</v>
      </c>
      <c r="AB1268" s="2" t="s">
        <v>43</v>
      </c>
      <c r="AC1268" t="s">
        <v>64</v>
      </c>
      <c r="AD1268" t="s">
        <v>46</v>
      </c>
      <c r="AE1268" t="s">
        <v>46</v>
      </c>
      <c r="AF1268" t="s">
        <v>46</v>
      </c>
      <c r="AG1268" t="s">
        <v>64</v>
      </c>
      <c r="AH1268" s="2" t="s">
        <v>43</v>
      </c>
    </row>
    <row r="1269" spans="1:34" ht="75">
      <c r="A1269" s="6" t="s">
        <v>892</v>
      </c>
      <c r="B1269" s="7">
        <v>46029</v>
      </c>
      <c r="C1269" s="9" t="str">
        <f>HYPERLINK("https://eping.wto.org/en/Search?viewData= G/SPS/N/PAN/95"," G/SPS/N/PAN/95")</f>
        <v xml:space="preserve"> G/SPS/N/PAN/95</v>
      </c>
      <c r="D1269" s="8" t="s">
        <v>4952</v>
      </c>
      <c r="E1269" s="8" t="s">
        <v>4953</v>
      </c>
      <c r="F1269" s="8" t="s">
        <v>1411</v>
      </c>
      <c r="G1269" s="8" t="s">
        <v>458</v>
      </c>
      <c r="H1269" s="8" t="s">
        <v>459</v>
      </c>
      <c r="I1269" s="8" t="s">
        <v>1090</v>
      </c>
      <c r="J1269" s="8" t="s">
        <v>43</v>
      </c>
      <c r="K1269" s="8" t="s">
        <v>310</v>
      </c>
      <c r="L1269" s="6" t="s">
        <v>43</v>
      </c>
      <c r="M1269" s="7">
        <v>46089</v>
      </c>
      <c r="N1269" s="7" t="s">
        <v>79</v>
      </c>
      <c r="O1269" s="7" t="s">
        <v>79</v>
      </c>
      <c r="P1269" s="6" t="s">
        <v>62</v>
      </c>
      <c r="Q1269" s="8" t="s">
        <v>4954</v>
      </c>
      <c r="R1269" t="str">
        <f>HYPERLINK("https://docs.wto.org/imrd/directdoc.asp?DDFDocuments/t/G/SPS/NPAN95.docx", "https://docs.wto.org/imrd/directdoc.asp?DDFDocuments/t/G/SPS/NPAN95.docx")</f>
        <v>https://docs.wto.org/imrd/directdoc.asp?DDFDocuments/t/G/SPS/NPAN95.docx</v>
      </c>
      <c r="S1269" t="str">
        <f>HYPERLINK("https://docs.wto.org/imrd/directdoc.asp?DDFDocuments/u/G/SPS/NPAN95.docx", "https://docs.wto.org/imrd/directdoc.asp?DDFDocuments/u/G/SPS/NPAN95.docx")</f>
        <v>https://docs.wto.org/imrd/directdoc.asp?DDFDocuments/u/G/SPS/NPAN95.docx</v>
      </c>
      <c r="T1269" t="str">
        <f>HYPERLINK("https://docs.wto.org/imrd/directdoc.asp?DDFDocuments/v/G/SPS/NPAN95.docx", "https://docs.wto.org/imrd/directdoc.asp?DDFDocuments/v/G/SPS/NPAN95.docx")</f>
        <v>https://docs.wto.org/imrd/directdoc.asp?DDFDocuments/v/G/SPS/NPAN95.docx</v>
      </c>
      <c r="U1269" t="s">
        <v>43</v>
      </c>
      <c r="V1269" t="s">
        <v>43</v>
      </c>
      <c r="W1269" t="s">
        <v>43</v>
      </c>
      <c r="X1269" t="s">
        <v>43</v>
      </c>
      <c r="Y1269" t="s">
        <v>43</v>
      </c>
      <c r="Z1269" t="s">
        <v>43</v>
      </c>
      <c r="AA1269" t="s">
        <v>43</v>
      </c>
      <c r="AB1269" s="2" t="s">
        <v>43</v>
      </c>
      <c r="AC1269" t="s">
        <v>64</v>
      </c>
      <c r="AD1269" t="s">
        <v>46</v>
      </c>
      <c r="AE1269" t="s">
        <v>46</v>
      </c>
      <c r="AF1269" t="s">
        <v>46</v>
      </c>
      <c r="AG1269" t="s">
        <v>64</v>
      </c>
      <c r="AH1269" s="2" t="s">
        <v>43</v>
      </c>
    </row>
    <row r="1270" spans="1:34" ht="60">
      <c r="A1270" s="6" t="s">
        <v>892</v>
      </c>
      <c r="B1270" s="7">
        <v>46029</v>
      </c>
      <c r="C1270" s="9" t="str">
        <f>HYPERLINK("https://eping.wto.org/en/Search?viewData= G/SPS/N/PAN/100"," G/SPS/N/PAN/100")</f>
        <v xml:space="preserve"> G/SPS/N/PAN/100</v>
      </c>
      <c r="D1270" s="8" t="s">
        <v>4955</v>
      </c>
      <c r="E1270" s="8" t="s">
        <v>4956</v>
      </c>
      <c r="F1270" s="8" t="s">
        <v>4876</v>
      </c>
      <c r="G1270" s="8" t="s">
        <v>4957</v>
      </c>
      <c r="H1270" s="8" t="s">
        <v>4877</v>
      </c>
      <c r="I1270" s="8" t="s">
        <v>1090</v>
      </c>
      <c r="J1270" s="8" t="s">
        <v>43</v>
      </c>
      <c r="K1270" s="8" t="s">
        <v>310</v>
      </c>
      <c r="L1270" s="6" t="s">
        <v>43</v>
      </c>
      <c r="M1270" s="7">
        <v>46089</v>
      </c>
      <c r="N1270" s="7" t="s">
        <v>79</v>
      </c>
      <c r="O1270" s="7" t="s">
        <v>79</v>
      </c>
      <c r="P1270" s="6" t="s">
        <v>62</v>
      </c>
      <c r="Q1270" s="8" t="s">
        <v>4958</v>
      </c>
      <c r="R1270" t="str">
        <f>HYPERLINK("https://docs.wto.org/imrd/directdoc.asp?DDFDocuments/t/G/SPS/NPAN100.docx", "https://docs.wto.org/imrd/directdoc.asp?DDFDocuments/t/G/SPS/NPAN100.docx")</f>
        <v>https://docs.wto.org/imrd/directdoc.asp?DDFDocuments/t/G/SPS/NPAN100.docx</v>
      </c>
      <c r="S1270" t="str">
        <f>HYPERLINK("https://docs.wto.org/imrd/directdoc.asp?DDFDocuments/u/G/SPS/NPAN100.docx", "https://docs.wto.org/imrd/directdoc.asp?DDFDocuments/u/G/SPS/NPAN100.docx")</f>
        <v>https://docs.wto.org/imrd/directdoc.asp?DDFDocuments/u/G/SPS/NPAN100.docx</v>
      </c>
      <c r="T1270" t="str">
        <f>HYPERLINK("https://docs.wto.org/imrd/directdoc.asp?DDFDocuments/v/G/SPS/NPAN100.docx", "https://docs.wto.org/imrd/directdoc.asp?DDFDocuments/v/G/SPS/NPAN100.docx")</f>
        <v>https://docs.wto.org/imrd/directdoc.asp?DDFDocuments/v/G/SPS/NPAN100.docx</v>
      </c>
      <c r="U1270" t="s">
        <v>43</v>
      </c>
      <c r="V1270" t="s">
        <v>43</v>
      </c>
      <c r="W1270" t="s">
        <v>43</v>
      </c>
      <c r="X1270" t="s">
        <v>43</v>
      </c>
      <c r="Y1270" t="s">
        <v>43</v>
      </c>
      <c r="Z1270" t="s">
        <v>43</v>
      </c>
      <c r="AA1270" t="s">
        <v>43</v>
      </c>
      <c r="AB1270" s="2" t="s">
        <v>43</v>
      </c>
      <c r="AC1270" t="s">
        <v>64</v>
      </c>
      <c r="AD1270" t="s">
        <v>46</v>
      </c>
      <c r="AE1270" t="s">
        <v>46</v>
      </c>
      <c r="AF1270" t="s">
        <v>46</v>
      </c>
      <c r="AG1270" t="s">
        <v>64</v>
      </c>
      <c r="AH1270" s="2" t="s">
        <v>43</v>
      </c>
    </row>
    <row r="1271" spans="1:34" ht="75">
      <c r="A1271" s="6" t="s">
        <v>892</v>
      </c>
      <c r="B1271" s="7">
        <v>46029</v>
      </c>
      <c r="C1271" s="9" t="str">
        <f>HYPERLINK("https://eping.wto.org/en/Search?viewData= G/SPS/N/PAN/102"," G/SPS/N/PAN/102")</f>
        <v xml:space="preserve"> G/SPS/N/PAN/102</v>
      </c>
      <c r="D1271" s="8" t="s">
        <v>4959</v>
      </c>
      <c r="E1271" s="8" t="s">
        <v>4960</v>
      </c>
      <c r="F1271" s="8" t="s">
        <v>1354</v>
      </c>
      <c r="G1271" s="8" t="s">
        <v>4903</v>
      </c>
      <c r="H1271" s="8" t="s">
        <v>431</v>
      </c>
      <c r="I1271" s="8" t="s">
        <v>1090</v>
      </c>
      <c r="J1271" s="8" t="s">
        <v>43</v>
      </c>
      <c r="K1271" s="8" t="s">
        <v>157</v>
      </c>
      <c r="L1271" s="6" t="s">
        <v>43</v>
      </c>
      <c r="M1271" s="7">
        <v>46089</v>
      </c>
      <c r="N1271" s="7" t="s">
        <v>79</v>
      </c>
      <c r="O1271" s="7" t="s">
        <v>79</v>
      </c>
      <c r="P1271" s="6" t="s">
        <v>62</v>
      </c>
      <c r="Q1271" s="8" t="s">
        <v>4961</v>
      </c>
      <c r="R1271" t="str">
        <f>HYPERLINK("https://docs.wto.org/imrd/directdoc.asp?DDFDocuments/t/G/SPS/NPAN102.docx", "https://docs.wto.org/imrd/directdoc.asp?DDFDocuments/t/G/SPS/NPAN102.docx")</f>
        <v>https://docs.wto.org/imrd/directdoc.asp?DDFDocuments/t/G/SPS/NPAN102.docx</v>
      </c>
      <c r="S1271" t="str">
        <f>HYPERLINK("https://docs.wto.org/imrd/directdoc.asp?DDFDocuments/u/G/SPS/NPAN102.docx", "https://docs.wto.org/imrd/directdoc.asp?DDFDocuments/u/G/SPS/NPAN102.docx")</f>
        <v>https://docs.wto.org/imrd/directdoc.asp?DDFDocuments/u/G/SPS/NPAN102.docx</v>
      </c>
      <c r="T1271" t="str">
        <f>HYPERLINK("https://docs.wto.org/imrd/directdoc.asp?DDFDocuments/v/G/SPS/NPAN102.docx", "https://docs.wto.org/imrd/directdoc.asp?DDFDocuments/v/G/SPS/NPAN102.docx")</f>
        <v>https://docs.wto.org/imrd/directdoc.asp?DDFDocuments/v/G/SPS/NPAN102.docx</v>
      </c>
      <c r="U1271" t="s">
        <v>43</v>
      </c>
      <c r="V1271" t="s">
        <v>43</v>
      </c>
      <c r="W1271" t="s">
        <v>43</v>
      </c>
      <c r="X1271" t="s">
        <v>43</v>
      </c>
      <c r="Y1271" t="s">
        <v>43</v>
      </c>
      <c r="Z1271" t="s">
        <v>43</v>
      </c>
      <c r="AA1271" t="s">
        <v>43</v>
      </c>
      <c r="AB1271" s="2" t="s">
        <v>43</v>
      </c>
      <c r="AC1271" t="s">
        <v>64</v>
      </c>
      <c r="AD1271" t="s">
        <v>46</v>
      </c>
      <c r="AE1271" t="s">
        <v>46</v>
      </c>
      <c r="AF1271" t="s">
        <v>46</v>
      </c>
      <c r="AG1271" t="s">
        <v>64</v>
      </c>
      <c r="AH1271" s="2" t="s">
        <v>43</v>
      </c>
    </row>
    <row r="1272" spans="1:34" ht="60">
      <c r="A1272" s="6" t="s">
        <v>892</v>
      </c>
      <c r="B1272" s="7">
        <v>46029</v>
      </c>
      <c r="C1272" s="9" t="str">
        <f>HYPERLINK("https://eping.wto.org/en/Search?viewData= G/SPS/N/PAN/105"," G/SPS/N/PAN/105")</f>
        <v xml:space="preserve"> G/SPS/N/PAN/105</v>
      </c>
      <c r="D1272" s="8" t="s">
        <v>4962</v>
      </c>
      <c r="E1272" s="8" t="s">
        <v>4963</v>
      </c>
      <c r="F1272" s="8" t="s">
        <v>1411</v>
      </c>
      <c r="G1272" s="8" t="s">
        <v>458</v>
      </c>
      <c r="H1272" s="8" t="s">
        <v>459</v>
      </c>
      <c r="I1272" s="8" t="s">
        <v>1090</v>
      </c>
      <c r="J1272" s="8" t="s">
        <v>43</v>
      </c>
      <c r="K1272" s="8" t="s">
        <v>157</v>
      </c>
      <c r="L1272" s="6" t="s">
        <v>43</v>
      </c>
      <c r="M1272" s="7">
        <v>46089</v>
      </c>
      <c r="N1272" s="7" t="s">
        <v>79</v>
      </c>
      <c r="O1272" s="7" t="s">
        <v>79</v>
      </c>
      <c r="P1272" s="6" t="s">
        <v>62</v>
      </c>
      <c r="Q1272" s="8" t="s">
        <v>4964</v>
      </c>
      <c r="R1272" t="str">
        <f>HYPERLINK("https://docs.wto.org/imrd/directdoc.asp?DDFDocuments/t/G/SPS/NPAN105.docx", "https://docs.wto.org/imrd/directdoc.asp?DDFDocuments/t/G/SPS/NPAN105.docx")</f>
        <v>https://docs.wto.org/imrd/directdoc.asp?DDFDocuments/t/G/SPS/NPAN105.docx</v>
      </c>
      <c r="S1272" t="str">
        <f>HYPERLINK("https://docs.wto.org/imrd/directdoc.asp?DDFDocuments/u/G/SPS/NPAN105.docx", "https://docs.wto.org/imrd/directdoc.asp?DDFDocuments/u/G/SPS/NPAN105.docx")</f>
        <v>https://docs.wto.org/imrd/directdoc.asp?DDFDocuments/u/G/SPS/NPAN105.docx</v>
      </c>
      <c r="T1272" t="str">
        <f>HYPERLINK("https://docs.wto.org/imrd/directdoc.asp?DDFDocuments/v/G/SPS/NPAN105.docx", "https://docs.wto.org/imrd/directdoc.asp?DDFDocuments/v/G/SPS/NPAN105.docx")</f>
        <v>https://docs.wto.org/imrd/directdoc.asp?DDFDocuments/v/G/SPS/NPAN105.docx</v>
      </c>
      <c r="U1272" t="s">
        <v>43</v>
      </c>
      <c r="V1272" t="s">
        <v>43</v>
      </c>
      <c r="W1272" t="s">
        <v>43</v>
      </c>
      <c r="X1272" t="s">
        <v>43</v>
      </c>
      <c r="Y1272" t="s">
        <v>43</v>
      </c>
      <c r="Z1272" t="s">
        <v>43</v>
      </c>
      <c r="AA1272" t="s">
        <v>43</v>
      </c>
      <c r="AB1272" s="2" t="s">
        <v>43</v>
      </c>
      <c r="AC1272" t="s">
        <v>64</v>
      </c>
      <c r="AD1272" t="s">
        <v>46</v>
      </c>
      <c r="AE1272" t="s">
        <v>46</v>
      </c>
      <c r="AF1272" t="s">
        <v>46</v>
      </c>
      <c r="AG1272" t="s">
        <v>64</v>
      </c>
      <c r="AH1272" s="2" t="s">
        <v>43</v>
      </c>
    </row>
    <row r="1273" spans="1:34" ht="90">
      <c r="A1273" s="6" t="s">
        <v>96</v>
      </c>
      <c r="B1273" s="7">
        <v>46029</v>
      </c>
      <c r="C1273" s="9" t="str">
        <f>HYPERLINK("https://eping.wto.org/en/Search?viewData= G/TBT/N/ISR/1338/Add.1"," G/TBT/N/ISR/1338/Add.1")</f>
        <v xml:space="preserve"> G/TBT/N/ISR/1338/Add.1</v>
      </c>
      <c r="D1273" s="8" t="s">
        <v>4965</v>
      </c>
      <c r="E1273" s="8" t="s">
        <v>4966</v>
      </c>
      <c r="F1273" s="8" t="s">
        <v>4967</v>
      </c>
      <c r="G1273" s="8" t="s">
        <v>4968</v>
      </c>
      <c r="H1273" s="8" t="s">
        <v>4969</v>
      </c>
      <c r="I1273" s="8" t="s">
        <v>2921</v>
      </c>
      <c r="J1273" s="8" t="s">
        <v>43</v>
      </c>
      <c r="K1273" s="8" t="s">
        <v>43</v>
      </c>
      <c r="L1273" s="6"/>
      <c r="M1273" s="7" t="s">
        <v>43</v>
      </c>
      <c r="N1273" s="7"/>
      <c r="O1273" s="7"/>
      <c r="P1273" s="6" t="s">
        <v>44</v>
      </c>
      <c r="Q1273" s="8" t="s">
        <v>4970</v>
      </c>
      <c r="R1273" t="str">
        <f>HYPERLINK("https://docs.wto.org/imrd/directdoc.asp?DDFDocuments/t/G/TBTN24/ISR1338A1.docx", "https://docs.wto.org/imrd/directdoc.asp?DDFDocuments/t/G/TBTN24/ISR1338A1.docx")</f>
        <v>https://docs.wto.org/imrd/directdoc.asp?DDFDocuments/t/G/TBTN24/ISR1338A1.docx</v>
      </c>
      <c r="S1273" t="str">
        <f>HYPERLINK("https://docs.wto.org/imrd/directdoc.asp?DDFDocuments/u/G/TBTN24/ISR1338A1.docx", "https://docs.wto.org/imrd/directdoc.asp?DDFDocuments/u/G/TBTN24/ISR1338A1.docx")</f>
        <v>https://docs.wto.org/imrd/directdoc.asp?DDFDocuments/u/G/TBTN24/ISR1338A1.docx</v>
      </c>
      <c r="T1273" t="str">
        <f>HYPERLINK("https://docs.wto.org/imrd/directdoc.asp?DDFDocuments/v/G/TBTN24/ISR1338A1.docx", "https://docs.wto.org/imrd/directdoc.asp?DDFDocuments/v/G/TBTN24/ISR1338A1.docx")</f>
        <v>https://docs.wto.org/imrd/directdoc.asp?DDFDocuments/v/G/TBTN24/ISR1338A1.docx</v>
      </c>
      <c r="U1273" t="s">
        <v>64</v>
      </c>
      <c r="V1273" t="s">
        <v>46</v>
      </c>
      <c r="W1273" t="s">
        <v>46</v>
      </c>
      <c r="X1273" t="s">
        <v>46</v>
      </c>
      <c r="Y1273" t="s">
        <v>46</v>
      </c>
      <c r="Z1273" t="s">
        <v>46</v>
      </c>
      <c r="AA1273" t="s">
        <v>46</v>
      </c>
      <c r="AB1273" s="2" t="s">
        <v>43</v>
      </c>
      <c r="AC1273" t="s">
        <v>43</v>
      </c>
      <c r="AD1273" t="s">
        <v>43</v>
      </c>
      <c r="AE1273" t="s">
        <v>43</v>
      </c>
      <c r="AF1273" t="s">
        <v>43</v>
      </c>
      <c r="AG1273" t="s">
        <v>43</v>
      </c>
      <c r="AH1273" s="2" t="s">
        <v>43</v>
      </c>
    </row>
    <row r="1274" spans="1:34" ht="60">
      <c r="A1274" s="6" t="s">
        <v>1049</v>
      </c>
      <c r="B1274" s="7">
        <v>46029</v>
      </c>
      <c r="C1274" s="9" t="str">
        <f>HYPERLINK("https://eping.wto.org/en/Search?viewData= G/TBT/N/ARG/465"," G/TBT/N/ARG/465")</f>
        <v xml:space="preserve"> G/TBT/N/ARG/465</v>
      </c>
      <c r="D1274" s="8" t="s">
        <v>4971</v>
      </c>
      <c r="E1274" s="8" t="s">
        <v>4972</v>
      </c>
      <c r="F1274" s="8" t="s">
        <v>4973</v>
      </c>
      <c r="G1274" s="8" t="s">
        <v>43</v>
      </c>
      <c r="H1274" s="8" t="s">
        <v>43</v>
      </c>
      <c r="I1274" s="8" t="s">
        <v>1483</v>
      </c>
      <c r="J1274" s="8" t="s">
        <v>43</v>
      </c>
      <c r="K1274" s="8" t="s">
        <v>240</v>
      </c>
      <c r="L1274" s="6"/>
      <c r="M1274" s="7">
        <v>46089</v>
      </c>
      <c r="N1274" s="7" t="s">
        <v>79</v>
      </c>
      <c r="O1274" s="7" t="s">
        <v>79</v>
      </c>
      <c r="P1274" s="6" t="s">
        <v>62</v>
      </c>
      <c r="Q1274" s="8" t="s">
        <v>4974</v>
      </c>
      <c r="R1274" t="str">
        <f>HYPERLINK("https://docs.wto.org/imrd/directdoc.asp?DDFDocuments/t/G/TBTN26/ARG465.docx", "https://docs.wto.org/imrd/directdoc.asp?DDFDocuments/t/G/TBTN26/ARG465.docx")</f>
        <v>https://docs.wto.org/imrd/directdoc.asp?DDFDocuments/t/G/TBTN26/ARG465.docx</v>
      </c>
      <c r="S1274" t="str">
        <f>HYPERLINK("https://docs.wto.org/imrd/directdoc.asp?DDFDocuments/u/G/TBTN26/ARG465.docx", "https://docs.wto.org/imrd/directdoc.asp?DDFDocuments/u/G/TBTN26/ARG465.docx")</f>
        <v>https://docs.wto.org/imrd/directdoc.asp?DDFDocuments/u/G/TBTN26/ARG465.docx</v>
      </c>
      <c r="T1274" t="str">
        <f>HYPERLINK("https://docs.wto.org/imrd/directdoc.asp?DDFDocuments/v/G/TBTN26/ARG465.docx", "https://docs.wto.org/imrd/directdoc.asp?DDFDocuments/v/G/TBTN26/ARG465.docx")</f>
        <v>https://docs.wto.org/imrd/directdoc.asp?DDFDocuments/v/G/TBTN26/ARG465.docx</v>
      </c>
      <c r="U1274" t="s">
        <v>64</v>
      </c>
      <c r="V1274" t="s">
        <v>46</v>
      </c>
      <c r="W1274" t="s">
        <v>46</v>
      </c>
      <c r="X1274" t="s">
        <v>46</v>
      </c>
      <c r="Y1274" t="s">
        <v>46</v>
      </c>
      <c r="Z1274" t="s">
        <v>46</v>
      </c>
      <c r="AA1274" t="s">
        <v>46</v>
      </c>
      <c r="AB1274" s="2" t="s">
        <v>4975</v>
      </c>
      <c r="AC1274" t="s">
        <v>43</v>
      </c>
      <c r="AD1274" t="s">
        <v>43</v>
      </c>
      <c r="AE1274" t="s">
        <v>43</v>
      </c>
      <c r="AF1274" t="s">
        <v>43</v>
      </c>
      <c r="AG1274" t="s">
        <v>43</v>
      </c>
      <c r="AH1274" s="2" t="s">
        <v>43</v>
      </c>
    </row>
    <row r="1275" spans="1:34" ht="225">
      <c r="A1275" s="6" t="s">
        <v>892</v>
      </c>
      <c r="B1275" s="7">
        <v>46029</v>
      </c>
      <c r="C1275" s="9" t="str">
        <f>HYPERLINK("https://eping.wto.org/en/Search?viewData= G/TBT/N/PAN/144"," G/TBT/N/PAN/144")</f>
        <v xml:space="preserve"> G/TBT/N/PAN/144</v>
      </c>
      <c r="D1275" s="8" t="s">
        <v>4976</v>
      </c>
      <c r="E1275" s="8" t="s">
        <v>4977</v>
      </c>
      <c r="F1275" s="8" t="s">
        <v>4978</v>
      </c>
      <c r="G1275" s="8" t="s">
        <v>43</v>
      </c>
      <c r="H1275" s="8" t="s">
        <v>4877</v>
      </c>
      <c r="I1275" s="8" t="s">
        <v>1483</v>
      </c>
      <c r="J1275" s="8" t="s">
        <v>43</v>
      </c>
      <c r="K1275" s="8" t="s">
        <v>240</v>
      </c>
      <c r="L1275" s="6"/>
      <c r="M1275" s="7">
        <v>46089</v>
      </c>
      <c r="N1275" s="7" t="s">
        <v>79</v>
      </c>
      <c r="O1275" s="7" t="s">
        <v>79</v>
      </c>
      <c r="P1275" s="6" t="s">
        <v>62</v>
      </c>
      <c r="Q1275" s="8" t="s">
        <v>4979</v>
      </c>
      <c r="R1275" t="str">
        <f>HYPERLINK("https://docs.wto.org/imrd/directdoc.asp?DDFDocuments/t/G/TBTN26/PAN144.docx", "https://docs.wto.org/imrd/directdoc.asp?DDFDocuments/t/G/TBTN26/PAN144.docx")</f>
        <v>https://docs.wto.org/imrd/directdoc.asp?DDFDocuments/t/G/TBTN26/PAN144.docx</v>
      </c>
      <c r="S1275" t="str">
        <f>HYPERLINK("https://docs.wto.org/imrd/directdoc.asp?DDFDocuments/u/G/TBTN26/PAN144.docx", "https://docs.wto.org/imrd/directdoc.asp?DDFDocuments/u/G/TBTN26/PAN144.docx")</f>
        <v>https://docs.wto.org/imrd/directdoc.asp?DDFDocuments/u/G/TBTN26/PAN144.docx</v>
      </c>
      <c r="T1275" t="str">
        <f>HYPERLINK("https://docs.wto.org/imrd/directdoc.asp?DDFDocuments/v/G/TBTN26/PAN144.docx", "https://docs.wto.org/imrd/directdoc.asp?DDFDocuments/v/G/TBTN26/PAN144.docx")</f>
        <v>https://docs.wto.org/imrd/directdoc.asp?DDFDocuments/v/G/TBTN26/PAN144.docx</v>
      </c>
      <c r="U1275" t="s">
        <v>64</v>
      </c>
      <c r="V1275" t="s">
        <v>46</v>
      </c>
      <c r="W1275" t="s">
        <v>46</v>
      </c>
      <c r="X1275" t="s">
        <v>46</v>
      </c>
      <c r="Y1275" t="s">
        <v>46</v>
      </c>
      <c r="Z1275" t="s">
        <v>46</v>
      </c>
      <c r="AA1275" t="s">
        <v>46</v>
      </c>
      <c r="AB1275" s="2" t="s">
        <v>4980</v>
      </c>
      <c r="AC1275" t="s">
        <v>43</v>
      </c>
      <c r="AD1275" t="s">
        <v>43</v>
      </c>
      <c r="AE1275" t="s">
        <v>43</v>
      </c>
      <c r="AF1275" t="s">
        <v>43</v>
      </c>
      <c r="AG1275" t="s">
        <v>43</v>
      </c>
      <c r="AH1275" s="2" t="s">
        <v>43</v>
      </c>
    </row>
    <row r="1276" spans="1:34" ht="180">
      <c r="A1276" s="6" t="s">
        <v>892</v>
      </c>
      <c r="B1276" s="7">
        <v>46029</v>
      </c>
      <c r="C1276" s="9" t="str">
        <f>HYPERLINK("https://eping.wto.org/en/Search?viewData= G/TBT/N/PAN/155"," G/TBT/N/PAN/155")</f>
        <v xml:space="preserve"> G/TBT/N/PAN/155</v>
      </c>
      <c r="D1276" s="8" t="s">
        <v>4981</v>
      </c>
      <c r="E1276" s="8" t="s">
        <v>4982</v>
      </c>
      <c r="F1276" s="8" t="s">
        <v>4983</v>
      </c>
      <c r="G1276" s="8" t="s">
        <v>43</v>
      </c>
      <c r="H1276" s="8" t="s">
        <v>395</v>
      </c>
      <c r="I1276" s="8" t="s">
        <v>1483</v>
      </c>
      <c r="J1276" s="8" t="s">
        <v>43</v>
      </c>
      <c r="K1276" s="8" t="s">
        <v>240</v>
      </c>
      <c r="L1276" s="6"/>
      <c r="M1276" s="7">
        <v>46089</v>
      </c>
      <c r="N1276" s="7" t="s">
        <v>79</v>
      </c>
      <c r="O1276" s="7" t="s">
        <v>79</v>
      </c>
      <c r="P1276" s="6" t="s">
        <v>62</v>
      </c>
      <c r="Q1276" s="8" t="s">
        <v>4984</v>
      </c>
      <c r="R1276" t="str">
        <f>HYPERLINK("https://docs.wto.org/imrd/directdoc.asp?DDFDocuments/t/G/TBTN26/PAN155.docx", "https://docs.wto.org/imrd/directdoc.asp?DDFDocuments/t/G/TBTN26/PAN155.docx")</f>
        <v>https://docs.wto.org/imrd/directdoc.asp?DDFDocuments/t/G/TBTN26/PAN155.docx</v>
      </c>
      <c r="S1276" t="str">
        <f>HYPERLINK("https://docs.wto.org/imrd/directdoc.asp?DDFDocuments/u/G/TBTN26/PAN155.docx", "https://docs.wto.org/imrd/directdoc.asp?DDFDocuments/u/G/TBTN26/PAN155.docx")</f>
        <v>https://docs.wto.org/imrd/directdoc.asp?DDFDocuments/u/G/TBTN26/PAN155.docx</v>
      </c>
      <c r="T1276" t="str">
        <f>HYPERLINK("https://docs.wto.org/imrd/directdoc.asp?DDFDocuments/v/G/TBTN26/PAN155.docx", "https://docs.wto.org/imrd/directdoc.asp?DDFDocuments/v/G/TBTN26/PAN155.docx")</f>
        <v>https://docs.wto.org/imrd/directdoc.asp?DDFDocuments/v/G/TBTN26/PAN155.docx</v>
      </c>
      <c r="U1276" t="s">
        <v>64</v>
      </c>
      <c r="V1276" t="s">
        <v>46</v>
      </c>
      <c r="W1276" t="s">
        <v>46</v>
      </c>
      <c r="X1276" t="s">
        <v>46</v>
      </c>
      <c r="Y1276" t="s">
        <v>46</v>
      </c>
      <c r="Z1276" t="s">
        <v>46</v>
      </c>
      <c r="AA1276" t="s">
        <v>46</v>
      </c>
      <c r="AB1276" s="2" t="s">
        <v>4985</v>
      </c>
      <c r="AC1276" t="s">
        <v>43</v>
      </c>
      <c r="AD1276" t="s">
        <v>43</v>
      </c>
      <c r="AE1276" t="s">
        <v>43</v>
      </c>
      <c r="AF1276" t="s">
        <v>43</v>
      </c>
      <c r="AG1276" t="s">
        <v>43</v>
      </c>
      <c r="AH1276" s="2" t="s">
        <v>43</v>
      </c>
    </row>
    <row r="1277" spans="1:34" ht="45">
      <c r="A1277" s="6" t="s">
        <v>390</v>
      </c>
      <c r="B1277" s="7">
        <v>46029</v>
      </c>
      <c r="C1277" s="9" t="str">
        <f>HYPERLINK("https://eping.wto.org/en/Search?viewData= G/TBT/N/BDI/702, G/TBT/N/KEN/1966, G/TBT/N/RWA/1332, G/TBT/N/TZA/1482, G/TBT/N/UGA/2300"," G/TBT/N/BDI/702, G/TBT/N/KEN/1966, G/TBT/N/RWA/1332, G/TBT/N/TZA/1482, G/TBT/N/UGA/2300")</f>
        <v xml:space="preserve"> G/TBT/N/BDI/702, G/TBT/N/KEN/1966, G/TBT/N/RWA/1332, G/TBT/N/TZA/1482, G/TBT/N/UGA/2300</v>
      </c>
      <c r="D1277" s="8" t="s">
        <v>4986</v>
      </c>
      <c r="E1277" s="8" t="s">
        <v>4987</v>
      </c>
      <c r="F1277" s="8" t="s">
        <v>4988</v>
      </c>
      <c r="G1277" s="8" t="s">
        <v>4989</v>
      </c>
      <c r="H1277" s="8" t="s">
        <v>4990</v>
      </c>
      <c r="I1277" s="8" t="s">
        <v>4991</v>
      </c>
      <c r="J1277" s="8" t="s">
        <v>43</v>
      </c>
      <c r="K1277" s="8" t="s">
        <v>43</v>
      </c>
      <c r="L1277" s="6"/>
      <c r="M1277" s="7">
        <v>46089</v>
      </c>
      <c r="N1277" s="7" t="s">
        <v>79</v>
      </c>
      <c r="O1277" s="7" t="s">
        <v>79</v>
      </c>
      <c r="P1277" s="6" t="s">
        <v>62</v>
      </c>
      <c r="Q1277" s="8" t="s">
        <v>4992</v>
      </c>
      <c r="R1277" t="str">
        <f>HYPERLINK("https://docs.wto.org/imrd/directdoc.asp?DDFDocuments/t/G/TBTN26/BDI702.docx", "https://docs.wto.org/imrd/directdoc.asp?DDFDocuments/t/G/TBTN26/BDI702.docx")</f>
        <v>https://docs.wto.org/imrd/directdoc.asp?DDFDocuments/t/G/TBTN26/BDI702.docx</v>
      </c>
      <c r="S1277" t="str">
        <f>HYPERLINK("https://docs.wto.org/imrd/directdoc.asp?DDFDocuments/u/G/TBTN26/BDI702.docx", "https://docs.wto.org/imrd/directdoc.asp?DDFDocuments/u/G/TBTN26/BDI702.docx")</f>
        <v>https://docs.wto.org/imrd/directdoc.asp?DDFDocuments/u/G/TBTN26/BDI702.docx</v>
      </c>
      <c r="T1277" t="str">
        <f>HYPERLINK("https://docs.wto.org/imrd/directdoc.asp?DDFDocuments/v/G/TBTN26/BDI702.docx", "https://docs.wto.org/imrd/directdoc.asp?DDFDocuments/v/G/TBTN26/BDI702.docx")</f>
        <v>https://docs.wto.org/imrd/directdoc.asp?DDFDocuments/v/G/TBTN26/BDI702.docx</v>
      </c>
      <c r="U1277" t="s">
        <v>64</v>
      </c>
      <c r="V1277" t="s">
        <v>46</v>
      </c>
      <c r="W1277" t="s">
        <v>64</v>
      </c>
      <c r="X1277" t="s">
        <v>46</v>
      </c>
      <c r="Y1277" t="s">
        <v>46</v>
      </c>
      <c r="Z1277" t="s">
        <v>46</v>
      </c>
      <c r="AA1277" t="s">
        <v>46</v>
      </c>
      <c r="AB1277" s="2" t="s">
        <v>4993</v>
      </c>
      <c r="AC1277" t="s">
        <v>43</v>
      </c>
      <c r="AD1277" t="s">
        <v>43</v>
      </c>
      <c r="AE1277" t="s">
        <v>43</v>
      </c>
      <c r="AF1277" t="s">
        <v>43</v>
      </c>
      <c r="AG1277" t="s">
        <v>43</v>
      </c>
      <c r="AH1277" s="2" t="s">
        <v>43</v>
      </c>
    </row>
    <row r="1278" spans="1:34" ht="210">
      <c r="A1278" s="6" t="s">
        <v>108</v>
      </c>
      <c r="B1278" s="7">
        <v>46029</v>
      </c>
      <c r="C1278" s="9" t="str">
        <f>HYPERLINK("https://eping.wto.org/en/Search?viewData= G/TBT/N/BDI/705, G/TBT/N/KEN/1969, G/TBT/N/RWA/1335, G/TBT/N/TZA/1485, G/TBT/N/UGA/2303"," G/TBT/N/BDI/705, G/TBT/N/KEN/1969, G/TBT/N/RWA/1335, G/TBT/N/TZA/1485, G/TBT/N/UGA/2303")</f>
        <v xml:space="preserve"> G/TBT/N/BDI/705, G/TBT/N/KEN/1969, G/TBT/N/RWA/1335, G/TBT/N/TZA/1485, G/TBT/N/UGA/2303</v>
      </c>
      <c r="D1278" s="8" t="s">
        <v>4994</v>
      </c>
      <c r="E1278" s="8" t="s">
        <v>4995</v>
      </c>
      <c r="F1278" s="8" t="s">
        <v>4996</v>
      </c>
      <c r="G1278" s="8" t="s">
        <v>3721</v>
      </c>
      <c r="H1278" s="8" t="s">
        <v>4990</v>
      </c>
      <c r="I1278" s="8" t="s">
        <v>1035</v>
      </c>
      <c r="J1278" s="8" t="s">
        <v>43</v>
      </c>
      <c r="K1278" s="8" t="s">
        <v>43</v>
      </c>
      <c r="L1278" s="6"/>
      <c r="M1278" s="7">
        <v>46089</v>
      </c>
      <c r="N1278" s="7" t="s">
        <v>79</v>
      </c>
      <c r="O1278" s="7" t="s">
        <v>79</v>
      </c>
      <c r="P1278" s="6" t="s">
        <v>62</v>
      </c>
      <c r="Q1278" s="8" t="s">
        <v>4997</v>
      </c>
      <c r="R1278" t="str">
        <f>HYPERLINK("https://docs.wto.org/imrd/directdoc.asp?DDFDocuments/t/G/TBTN26/BDI705.docx", "https://docs.wto.org/imrd/directdoc.asp?DDFDocuments/t/G/TBTN26/BDI705.docx")</f>
        <v>https://docs.wto.org/imrd/directdoc.asp?DDFDocuments/t/G/TBTN26/BDI705.docx</v>
      </c>
      <c r="S1278" t="str">
        <f>HYPERLINK("https://docs.wto.org/imrd/directdoc.asp?DDFDocuments/u/G/TBTN26/BDI705.docx", "https://docs.wto.org/imrd/directdoc.asp?DDFDocuments/u/G/TBTN26/BDI705.docx")</f>
        <v>https://docs.wto.org/imrd/directdoc.asp?DDFDocuments/u/G/TBTN26/BDI705.docx</v>
      </c>
      <c r="T1278" t="str">
        <f>HYPERLINK("https://docs.wto.org/imrd/directdoc.asp?DDFDocuments/v/G/TBTN26/BDI705.docx", "https://docs.wto.org/imrd/directdoc.asp?DDFDocuments/v/G/TBTN26/BDI705.docx")</f>
        <v>https://docs.wto.org/imrd/directdoc.asp?DDFDocuments/v/G/TBTN26/BDI705.docx</v>
      </c>
      <c r="U1278" t="s">
        <v>64</v>
      </c>
      <c r="V1278" t="s">
        <v>46</v>
      </c>
      <c r="W1278" t="s">
        <v>64</v>
      </c>
      <c r="X1278" t="s">
        <v>46</v>
      </c>
      <c r="Y1278" t="s">
        <v>46</v>
      </c>
      <c r="Z1278" t="s">
        <v>46</v>
      </c>
      <c r="AA1278" t="s">
        <v>46</v>
      </c>
      <c r="AB1278" s="2" t="s">
        <v>4998</v>
      </c>
      <c r="AC1278" t="s">
        <v>43</v>
      </c>
      <c r="AD1278" t="s">
        <v>43</v>
      </c>
      <c r="AE1278" t="s">
        <v>43</v>
      </c>
      <c r="AF1278" t="s">
        <v>43</v>
      </c>
      <c r="AG1278" t="s">
        <v>43</v>
      </c>
      <c r="AH1278" s="2" t="s">
        <v>43</v>
      </c>
    </row>
    <row r="1279" spans="1:34" ht="90">
      <c r="A1279" s="6" t="s">
        <v>185</v>
      </c>
      <c r="B1279" s="7">
        <v>46029</v>
      </c>
      <c r="C1279" s="9" t="str">
        <f>HYPERLINK("https://eping.wto.org/en/Search?viewData= G/TBT/N/CHN/2172"," G/TBT/N/CHN/2172")</f>
        <v xml:space="preserve"> G/TBT/N/CHN/2172</v>
      </c>
      <c r="D1279" s="8" t="s">
        <v>4999</v>
      </c>
      <c r="E1279" s="8" t="s">
        <v>5000</v>
      </c>
      <c r="F1279" s="8" t="s">
        <v>5001</v>
      </c>
      <c r="G1279" s="8" t="s">
        <v>641</v>
      </c>
      <c r="H1279" s="8" t="s">
        <v>5002</v>
      </c>
      <c r="I1279" s="8" t="s">
        <v>275</v>
      </c>
      <c r="J1279" s="8" t="s">
        <v>43</v>
      </c>
      <c r="K1279" s="8" t="s">
        <v>43</v>
      </c>
      <c r="L1279" s="6"/>
      <c r="M1279" s="7" t="s">
        <v>43</v>
      </c>
      <c r="N1279" s="7" t="s">
        <v>79</v>
      </c>
      <c r="O1279" s="7" t="s">
        <v>192</v>
      </c>
      <c r="P1279" s="6" t="s">
        <v>62</v>
      </c>
      <c r="Q1279" s="8" t="s">
        <v>5003</v>
      </c>
      <c r="R1279" t="str">
        <f>HYPERLINK("https://docs.wto.org/imrd/directdoc.asp?DDFDocuments/t/G/TBTN26/CHN2172.docx", "https://docs.wto.org/imrd/directdoc.asp?DDFDocuments/t/G/TBTN26/CHN2172.docx")</f>
        <v>https://docs.wto.org/imrd/directdoc.asp?DDFDocuments/t/G/TBTN26/CHN2172.docx</v>
      </c>
      <c r="S1279" t="str">
        <f>HYPERLINK("https://docs.wto.org/imrd/directdoc.asp?DDFDocuments/u/G/TBTN26/CHN2172.docx", "https://docs.wto.org/imrd/directdoc.asp?DDFDocuments/u/G/TBTN26/CHN2172.docx")</f>
        <v>https://docs.wto.org/imrd/directdoc.asp?DDFDocuments/u/G/TBTN26/CHN2172.docx</v>
      </c>
      <c r="T1279" t="str">
        <f>HYPERLINK("https://docs.wto.org/imrd/directdoc.asp?DDFDocuments/v/G/TBTN26/CHN2172.docx", "https://docs.wto.org/imrd/directdoc.asp?DDFDocuments/v/G/TBTN26/CHN2172.docx")</f>
        <v>https://docs.wto.org/imrd/directdoc.asp?DDFDocuments/v/G/TBTN26/CHN2172.docx</v>
      </c>
      <c r="U1279" t="s">
        <v>46</v>
      </c>
      <c r="V1279" t="s">
        <v>46</v>
      </c>
      <c r="W1279" t="s">
        <v>46</v>
      </c>
      <c r="X1279" t="s">
        <v>64</v>
      </c>
      <c r="Y1279" t="s">
        <v>46</v>
      </c>
      <c r="Z1279" t="s">
        <v>46</v>
      </c>
      <c r="AA1279" t="s">
        <v>46</v>
      </c>
      <c r="AB1279" s="2" t="s">
        <v>43</v>
      </c>
      <c r="AC1279" t="s">
        <v>43</v>
      </c>
      <c r="AD1279" t="s">
        <v>43</v>
      </c>
      <c r="AE1279" t="s">
        <v>43</v>
      </c>
      <c r="AF1279" t="s">
        <v>43</v>
      </c>
      <c r="AG1279" t="s">
        <v>43</v>
      </c>
      <c r="AH1279" s="2" t="s">
        <v>43</v>
      </c>
    </row>
    <row r="1280" spans="1:34" ht="90">
      <c r="A1280" s="6" t="s">
        <v>185</v>
      </c>
      <c r="B1280" s="7">
        <v>46029</v>
      </c>
      <c r="C1280" s="9" t="str">
        <f>HYPERLINK("https://eping.wto.org/en/Search?viewData= G/TBT/N/CHN/2176"," G/TBT/N/CHN/2176")</f>
        <v xml:space="preserve"> G/TBT/N/CHN/2176</v>
      </c>
      <c r="D1280" s="8" t="s">
        <v>5004</v>
      </c>
      <c r="E1280" s="8" t="s">
        <v>5005</v>
      </c>
      <c r="F1280" s="8" t="s">
        <v>5006</v>
      </c>
      <c r="G1280" s="8" t="s">
        <v>5007</v>
      </c>
      <c r="H1280" s="8" t="s">
        <v>5008</v>
      </c>
      <c r="I1280" s="8" t="s">
        <v>275</v>
      </c>
      <c r="J1280" s="8" t="s">
        <v>43</v>
      </c>
      <c r="K1280" s="8" t="s">
        <v>43</v>
      </c>
      <c r="L1280" s="6"/>
      <c r="M1280" s="7" t="s">
        <v>43</v>
      </c>
      <c r="N1280" s="7" t="s">
        <v>79</v>
      </c>
      <c r="O1280" s="7" t="s">
        <v>192</v>
      </c>
      <c r="P1280" s="6" t="s">
        <v>62</v>
      </c>
      <c r="Q1280" s="8" t="s">
        <v>5009</v>
      </c>
      <c r="R1280" t="str">
        <f>HYPERLINK("https://docs.wto.org/imrd/directdoc.asp?DDFDocuments/t/G/TBTN26/CHN2176.docx", "https://docs.wto.org/imrd/directdoc.asp?DDFDocuments/t/G/TBTN26/CHN2176.docx")</f>
        <v>https://docs.wto.org/imrd/directdoc.asp?DDFDocuments/t/G/TBTN26/CHN2176.docx</v>
      </c>
      <c r="S1280" t="str">
        <f>HYPERLINK("https://docs.wto.org/imrd/directdoc.asp?DDFDocuments/u/G/TBTN26/CHN2176.docx", "https://docs.wto.org/imrd/directdoc.asp?DDFDocuments/u/G/TBTN26/CHN2176.docx")</f>
        <v>https://docs.wto.org/imrd/directdoc.asp?DDFDocuments/u/G/TBTN26/CHN2176.docx</v>
      </c>
      <c r="T1280" t="str">
        <f>HYPERLINK("https://docs.wto.org/imrd/directdoc.asp?DDFDocuments/v/G/TBTN26/CHN2176.docx", "https://docs.wto.org/imrd/directdoc.asp?DDFDocuments/v/G/TBTN26/CHN2176.docx")</f>
        <v>https://docs.wto.org/imrd/directdoc.asp?DDFDocuments/v/G/TBTN26/CHN2176.docx</v>
      </c>
      <c r="U1280" t="s">
        <v>46</v>
      </c>
      <c r="V1280" t="s">
        <v>46</v>
      </c>
      <c r="W1280" t="s">
        <v>46</v>
      </c>
      <c r="X1280" t="s">
        <v>64</v>
      </c>
      <c r="Y1280" t="s">
        <v>46</v>
      </c>
      <c r="Z1280" t="s">
        <v>46</v>
      </c>
      <c r="AA1280" t="s">
        <v>46</v>
      </c>
      <c r="AB1280" s="2" t="s">
        <v>43</v>
      </c>
      <c r="AC1280" t="s">
        <v>43</v>
      </c>
      <c r="AD1280" t="s">
        <v>43</v>
      </c>
      <c r="AE1280" t="s">
        <v>43</v>
      </c>
      <c r="AF1280" t="s">
        <v>43</v>
      </c>
      <c r="AG1280" t="s">
        <v>43</v>
      </c>
      <c r="AH1280" s="2" t="s">
        <v>43</v>
      </c>
    </row>
    <row r="1281" spans="1:34" ht="75">
      <c r="A1281" s="6" t="s">
        <v>289</v>
      </c>
      <c r="B1281" s="7">
        <v>46029</v>
      </c>
      <c r="C1281" s="9" t="str">
        <f>HYPERLINK("https://eping.wto.org/en/Search?viewData= G/SPS/N/BRA/2456"," G/SPS/N/BRA/2456")</f>
        <v xml:space="preserve"> G/SPS/N/BRA/2456</v>
      </c>
      <c r="D1281" s="8" t="s">
        <v>5010</v>
      </c>
      <c r="E1281" s="8" t="s">
        <v>5011</v>
      </c>
      <c r="F1281" s="8" t="s">
        <v>1515</v>
      </c>
      <c r="G1281" s="8" t="s">
        <v>43</v>
      </c>
      <c r="H1281" s="8" t="s">
        <v>1516</v>
      </c>
      <c r="I1281" s="8" t="s">
        <v>58</v>
      </c>
      <c r="J1281" s="8" t="s">
        <v>43</v>
      </c>
      <c r="K1281" s="8" t="s">
        <v>2405</v>
      </c>
      <c r="L1281" s="6"/>
      <c r="M1281" s="7">
        <v>46089</v>
      </c>
      <c r="N1281" s="7" t="s">
        <v>1517</v>
      </c>
      <c r="O1281" s="7" t="s">
        <v>1517</v>
      </c>
      <c r="P1281" s="6" t="s">
        <v>62</v>
      </c>
      <c r="Q1281" s="8" t="s">
        <v>5012</v>
      </c>
      <c r="R1281" t="str">
        <f>HYPERLINK("https://docs.wto.org/imrd/directdoc.asp?DDFDocuments/t/G/SPS/NBRA2456.docx", "https://docs.wto.org/imrd/directdoc.asp?DDFDocuments/t/G/SPS/NBRA2456.docx")</f>
        <v>https://docs.wto.org/imrd/directdoc.asp?DDFDocuments/t/G/SPS/NBRA2456.docx</v>
      </c>
      <c r="S1281" t="str">
        <f>HYPERLINK("https://docs.wto.org/imrd/directdoc.asp?DDFDocuments/u/G/SPS/NBRA2456.docx", "https://docs.wto.org/imrd/directdoc.asp?DDFDocuments/u/G/SPS/NBRA2456.docx")</f>
        <v>https://docs.wto.org/imrd/directdoc.asp?DDFDocuments/u/G/SPS/NBRA2456.docx</v>
      </c>
      <c r="T1281" t="str">
        <f>HYPERLINK("https://docs.wto.org/imrd/directdoc.asp?DDFDocuments/v/G/SPS/NBRA2456.docx", "https://docs.wto.org/imrd/directdoc.asp?DDFDocuments/v/G/SPS/NBRA2456.docx")</f>
        <v>https://docs.wto.org/imrd/directdoc.asp?DDFDocuments/v/G/SPS/NBRA2456.docx</v>
      </c>
      <c r="U1281" t="s">
        <v>43</v>
      </c>
      <c r="V1281" t="s">
        <v>43</v>
      </c>
      <c r="W1281" t="s">
        <v>43</v>
      </c>
      <c r="X1281" t="s">
        <v>43</v>
      </c>
      <c r="Y1281" t="s">
        <v>43</v>
      </c>
      <c r="Z1281" t="s">
        <v>43</v>
      </c>
      <c r="AA1281" t="s">
        <v>43</v>
      </c>
      <c r="AB1281" s="2" t="s">
        <v>43</v>
      </c>
      <c r="AC1281" t="s">
        <v>46</v>
      </c>
      <c r="AD1281" t="s">
        <v>46</v>
      </c>
      <c r="AE1281" t="s">
        <v>46</v>
      </c>
      <c r="AF1281" t="s">
        <v>64</v>
      </c>
      <c r="AG1281" t="s">
        <v>99</v>
      </c>
      <c r="AH1281" s="2" t="s">
        <v>43</v>
      </c>
    </row>
    <row r="1282" spans="1:34" ht="210">
      <c r="A1282" s="6" t="s">
        <v>1917</v>
      </c>
      <c r="B1282" s="7">
        <v>46029</v>
      </c>
      <c r="C1282" s="9" t="str">
        <f>HYPERLINK("https://eping.wto.org/en/Search?viewData= G/TBT/N/EGY/3/Add.100"," G/TBT/N/EGY/3/Add.100")</f>
        <v xml:space="preserve"> G/TBT/N/EGY/3/Add.100</v>
      </c>
      <c r="D1282" s="8" t="s">
        <v>5013</v>
      </c>
      <c r="E1282" s="8" t="s">
        <v>5014</v>
      </c>
      <c r="F1282" s="8" t="s">
        <v>5015</v>
      </c>
      <c r="G1282" s="8" t="s">
        <v>43</v>
      </c>
      <c r="H1282" s="8" t="s">
        <v>5016</v>
      </c>
      <c r="I1282" s="8" t="s">
        <v>43</v>
      </c>
      <c r="J1282" s="8"/>
      <c r="K1282" s="8" t="s">
        <v>43</v>
      </c>
      <c r="L1282" s="6"/>
      <c r="M1282" s="7" t="s">
        <v>43</v>
      </c>
      <c r="N1282" s="7"/>
      <c r="O1282" s="7"/>
      <c r="P1282" s="6" t="s">
        <v>44</v>
      </c>
      <c r="Q1282" s="6"/>
      <c r="R1282" t="str">
        <f>HYPERLINK("https://docs.wto.org/imrd/directdoc.asp?DDFDocuments/t/G/TBTN05/EGY3A100.docx", "https://docs.wto.org/imrd/directdoc.asp?DDFDocuments/t/G/TBTN05/EGY3A100.docx")</f>
        <v>https://docs.wto.org/imrd/directdoc.asp?DDFDocuments/t/G/TBTN05/EGY3A100.docx</v>
      </c>
      <c r="S1282" t="str">
        <f>HYPERLINK("https://docs.wto.org/imrd/directdoc.asp?DDFDocuments/u/G/TBTN05/EGY3A100.docx", "https://docs.wto.org/imrd/directdoc.asp?DDFDocuments/u/G/TBTN05/EGY3A100.docx")</f>
        <v>https://docs.wto.org/imrd/directdoc.asp?DDFDocuments/u/G/TBTN05/EGY3A100.docx</v>
      </c>
      <c r="T1282" t="str">
        <f>HYPERLINK("https://docs.wto.org/imrd/directdoc.asp?DDFDocuments/v/G/TBTN05/EGY3A100.docx", "https://docs.wto.org/imrd/directdoc.asp?DDFDocuments/v/G/TBTN05/EGY3A100.docx")</f>
        <v>https://docs.wto.org/imrd/directdoc.asp?DDFDocuments/v/G/TBTN05/EGY3A100.docx</v>
      </c>
      <c r="U1282" t="s">
        <v>64</v>
      </c>
      <c r="V1282" t="s">
        <v>46</v>
      </c>
      <c r="W1282" t="s">
        <v>46</v>
      </c>
      <c r="X1282" t="s">
        <v>46</v>
      </c>
      <c r="Y1282" t="s">
        <v>46</v>
      </c>
      <c r="Z1282" t="s">
        <v>46</v>
      </c>
      <c r="AA1282" t="s">
        <v>46</v>
      </c>
      <c r="AB1282" s="2" t="s">
        <v>43</v>
      </c>
      <c r="AC1282" t="s">
        <v>43</v>
      </c>
      <c r="AD1282" t="s">
        <v>43</v>
      </c>
      <c r="AE1282" t="s">
        <v>43</v>
      </c>
      <c r="AF1282" t="s">
        <v>43</v>
      </c>
      <c r="AG1282" t="s">
        <v>43</v>
      </c>
      <c r="AH1282" s="2" t="s">
        <v>43</v>
      </c>
    </row>
    <row r="1283" spans="1:34" ht="75">
      <c r="A1283" s="6" t="s">
        <v>892</v>
      </c>
      <c r="B1283" s="7">
        <v>46029</v>
      </c>
      <c r="C1283" s="9" t="str">
        <f>HYPERLINK("https://eping.wto.org/en/Search?viewData= G/SPS/N/PAN/103"," G/SPS/N/PAN/103")</f>
        <v xml:space="preserve"> G/SPS/N/PAN/103</v>
      </c>
      <c r="D1283" s="8" t="s">
        <v>5017</v>
      </c>
      <c r="E1283" s="8" t="s">
        <v>5018</v>
      </c>
      <c r="F1283" s="8" t="s">
        <v>1354</v>
      </c>
      <c r="G1283" s="8" t="s">
        <v>4903</v>
      </c>
      <c r="H1283" s="8" t="s">
        <v>431</v>
      </c>
      <c r="I1283" s="8" t="s">
        <v>1090</v>
      </c>
      <c r="J1283" s="8" t="s">
        <v>43</v>
      </c>
      <c r="K1283" s="8" t="s">
        <v>157</v>
      </c>
      <c r="L1283" s="6" t="s">
        <v>43</v>
      </c>
      <c r="M1283" s="7">
        <v>46089</v>
      </c>
      <c r="N1283" s="7" t="s">
        <v>79</v>
      </c>
      <c r="O1283" s="7" t="s">
        <v>79</v>
      </c>
      <c r="P1283" s="6" t="s">
        <v>62</v>
      </c>
      <c r="Q1283" s="8" t="s">
        <v>5019</v>
      </c>
      <c r="R1283" t="str">
        <f>HYPERLINK("https://docs.wto.org/imrd/directdoc.asp?DDFDocuments/t/G/SPS/NPAN103.docx", "https://docs.wto.org/imrd/directdoc.asp?DDFDocuments/t/G/SPS/NPAN103.docx")</f>
        <v>https://docs.wto.org/imrd/directdoc.asp?DDFDocuments/t/G/SPS/NPAN103.docx</v>
      </c>
      <c r="S1283" t="str">
        <f>HYPERLINK("https://docs.wto.org/imrd/directdoc.asp?DDFDocuments/u/G/SPS/NPAN103.docx", "https://docs.wto.org/imrd/directdoc.asp?DDFDocuments/u/G/SPS/NPAN103.docx")</f>
        <v>https://docs.wto.org/imrd/directdoc.asp?DDFDocuments/u/G/SPS/NPAN103.docx</v>
      </c>
      <c r="T1283" t="str">
        <f>HYPERLINK("https://docs.wto.org/imrd/directdoc.asp?DDFDocuments/v/G/SPS/NPAN103.docx", "https://docs.wto.org/imrd/directdoc.asp?DDFDocuments/v/G/SPS/NPAN103.docx")</f>
        <v>https://docs.wto.org/imrd/directdoc.asp?DDFDocuments/v/G/SPS/NPAN103.docx</v>
      </c>
      <c r="U1283" t="s">
        <v>43</v>
      </c>
      <c r="V1283" t="s">
        <v>43</v>
      </c>
      <c r="W1283" t="s">
        <v>43</v>
      </c>
      <c r="X1283" t="s">
        <v>43</v>
      </c>
      <c r="Y1283" t="s">
        <v>43</v>
      </c>
      <c r="Z1283" t="s">
        <v>43</v>
      </c>
      <c r="AA1283" t="s">
        <v>43</v>
      </c>
      <c r="AB1283" s="2" t="s">
        <v>43</v>
      </c>
      <c r="AC1283" t="s">
        <v>64</v>
      </c>
      <c r="AD1283" t="s">
        <v>46</v>
      </c>
      <c r="AE1283" t="s">
        <v>46</v>
      </c>
      <c r="AF1283" t="s">
        <v>46</v>
      </c>
      <c r="AG1283" t="s">
        <v>64</v>
      </c>
      <c r="AH1283" s="2" t="s">
        <v>43</v>
      </c>
    </row>
    <row r="1284" spans="1:34" ht="225">
      <c r="A1284" s="6" t="s">
        <v>892</v>
      </c>
      <c r="B1284" s="7">
        <v>46029</v>
      </c>
      <c r="C1284" s="9" t="str">
        <f>HYPERLINK("https://eping.wto.org/en/Search?viewData= G/TBT/N/PAN/148"," G/TBT/N/PAN/148")</f>
        <v xml:space="preserve"> G/TBT/N/PAN/148</v>
      </c>
      <c r="D1284" s="8" t="s">
        <v>5020</v>
      </c>
      <c r="E1284" s="8" t="s">
        <v>5021</v>
      </c>
      <c r="F1284" s="8" t="s">
        <v>4978</v>
      </c>
      <c r="G1284" s="8" t="s">
        <v>43</v>
      </c>
      <c r="H1284" s="8" t="s">
        <v>4877</v>
      </c>
      <c r="I1284" s="8" t="s">
        <v>1483</v>
      </c>
      <c r="J1284" s="8" t="s">
        <v>43</v>
      </c>
      <c r="K1284" s="8" t="s">
        <v>240</v>
      </c>
      <c r="L1284" s="6"/>
      <c r="M1284" s="7">
        <v>46089</v>
      </c>
      <c r="N1284" s="7" t="s">
        <v>79</v>
      </c>
      <c r="O1284" s="7" t="s">
        <v>79</v>
      </c>
      <c r="P1284" s="6" t="s">
        <v>62</v>
      </c>
      <c r="Q1284" s="8" t="s">
        <v>5022</v>
      </c>
      <c r="R1284" t="str">
        <f>HYPERLINK("https://docs.wto.org/imrd/directdoc.asp?DDFDocuments/t/G/TBTN26/PAN148.docx", "https://docs.wto.org/imrd/directdoc.asp?DDFDocuments/t/G/TBTN26/PAN148.docx")</f>
        <v>https://docs.wto.org/imrd/directdoc.asp?DDFDocuments/t/G/TBTN26/PAN148.docx</v>
      </c>
      <c r="S1284" t="str">
        <f>HYPERLINK("https://docs.wto.org/imrd/directdoc.asp?DDFDocuments/u/G/TBTN26/PAN148.docx", "https://docs.wto.org/imrd/directdoc.asp?DDFDocuments/u/G/TBTN26/PAN148.docx")</f>
        <v>https://docs.wto.org/imrd/directdoc.asp?DDFDocuments/u/G/TBTN26/PAN148.docx</v>
      </c>
      <c r="T1284" t="str">
        <f>HYPERLINK("https://docs.wto.org/imrd/directdoc.asp?DDFDocuments/v/G/TBTN26/PAN148.docx", "https://docs.wto.org/imrd/directdoc.asp?DDFDocuments/v/G/TBTN26/PAN148.docx")</f>
        <v>https://docs.wto.org/imrd/directdoc.asp?DDFDocuments/v/G/TBTN26/PAN148.docx</v>
      </c>
      <c r="U1284" t="s">
        <v>64</v>
      </c>
      <c r="V1284" t="s">
        <v>46</v>
      </c>
      <c r="W1284" t="s">
        <v>46</v>
      </c>
      <c r="X1284" t="s">
        <v>46</v>
      </c>
      <c r="Y1284" t="s">
        <v>46</v>
      </c>
      <c r="Z1284" t="s">
        <v>46</v>
      </c>
      <c r="AA1284" t="s">
        <v>46</v>
      </c>
      <c r="AB1284" s="2" t="s">
        <v>5023</v>
      </c>
      <c r="AC1284" t="s">
        <v>43</v>
      </c>
      <c r="AD1284" t="s">
        <v>43</v>
      </c>
      <c r="AE1284" t="s">
        <v>43</v>
      </c>
      <c r="AF1284" t="s">
        <v>43</v>
      </c>
      <c r="AG1284" t="s">
        <v>43</v>
      </c>
      <c r="AH1284" s="2" t="s">
        <v>43</v>
      </c>
    </row>
    <row r="1285" spans="1:34" ht="105">
      <c r="A1285" s="6" t="s">
        <v>185</v>
      </c>
      <c r="B1285" s="7">
        <v>46029</v>
      </c>
      <c r="C1285" s="9" t="str">
        <f>HYPERLINK("https://eping.wto.org/en/Search?viewData= G/TBT/N/CHN/2178"," G/TBT/N/CHN/2178")</f>
        <v xml:space="preserve"> G/TBT/N/CHN/2178</v>
      </c>
      <c r="D1285" s="8" t="s">
        <v>5024</v>
      </c>
      <c r="E1285" s="8" t="s">
        <v>5025</v>
      </c>
      <c r="F1285" s="8" t="s">
        <v>5026</v>
      </c>
      <c r="G1285" s="8" t="s">
        <v>5027</v>
      </c>
      <c r="H1285" s="8" t="s">
        <v>5008</v>
      </c>
      <c r="I1285" s="8" t="s">
        <v>275</v>
      </c>
      <c r="J1285" s="8" t="s">
        <v>43</v>
      </c>
      <c r="K1285" s="8" t="s">
        <v>43</v>
      </c>
      <c r="L1285" s="6"/>
      <c r="M1285" s="7" t="s">
        <v>43</v>
      </c>
      <c r="N1285" s="7" t="s">
        <v>79</v>
      </c>
      <c r="O1285" s="7" t="s">
        <v>192</v>
      </c>
      <c r="P1285" s="6" t="s">
        <v>62</v>
      </c>
      <c r="Q1285" s="8" t="s">
        <v>5028</v>
      </c>
      <c r="R1285" t="str">
        <f>HYPERLINK("https://docs.wto.org/imrd/directdoc.asp?DDFDocuments/t/G/TBTN26/CHN2178.docx", "https://docs.wto.org/imrd/directdoc.asp?DDFDocuments/t/G/TBTN26/CHN2178.docx")</f>
        <v>https://docs.wto.org/imrd/directdoc.asp?DDFDocuments/t/G/TBTN26/CHN2178.docx</v>
      </c>
      <c r="S1285" t="str">
        <f>HYPERLINK("https://docs.wto.org/imrd/directdoc.asp?DDFDocuments/u/G/TBTN26/CHN2178.docx", "https://docs.wto.org/imrd/directdoc.asp?DDFDocuments/u/G/TBTN26/CHN2178.docx")</f>
        <v>https://docs.wto.org/imrd/directdoc.asp?DDFDocuments/u/G/TBTN26/CHN2178.docx</v>
      </c>
      <c r="T1285" t="str">
        <f>HYPERLINK("https://docs.wto.org/imrd/directdoc.asp?DDFDocuments/v/G/TBTN26/CHN2178.docx", "https://docs.wto.org/imrd/directdoc.asp?DDFDocuments/v/G/TBTN26/CHN2178.docx")</f>
        <v>https://docs.wto.org/imrd/directdoc.asp?DDFDocuments/v/G/TBTN26/CHN2178.docx</v>
      </c>
      <c r="U1285" t="s">
        <v>46</v>
      </c>
      <c r="V1285" t="s">
        <v>46</v>
      </c>
      <c r="W1285" t="s">
        <v>46</v>
      </c>
      <c r="X1285" t="s">
        <v>64</v>
      </c>
      <c r="Y1285" t="s">
        <v>46</v>
      </c>
      <c r="Z1285" t="s">
        <v>46</v>
      </c>
      <c r="AA1285" t="s">
        <v>46</v>
      </c>
      <c r="AB1285" s="2" t="s">
        <v>43</v>
      </c>
      <c r="AC1285" t="s">
        <v>43</v>
      </c>
      <c r="AD1285" t="s">
        <v>43</v>
      </c>
      <c r="AE1285" t="s">
        <v>43</v>
      </c>
      <c r="AF1285" t="s">
        <v>43</v>
      </c>
      <c r="AG1285" t="s">
        <v>43</v>
      </c>
      <c r="AH1285" s="2" t="s">
        <v>43</v>
      </c>
    </row>
    <row r="1286" spans="1:34" ht="75">
      <c r="A1286" s="6" t="s">
        <v>289</v>
      </c>
      <c r="B1286" s="7">
        <v>46029</v>
      </c>
      <c r="C1286" s="9" t="str">
        <f>HYPERLINK("https://eping.wto.org/en/Search?viewData= G/SPS/N/BRA/2454"," G/SPS/N/BRA/2454")</f>
        <v xml:space="preserve"> G/SPS/N/BRA/2454</v>
      </c>
      <c r="D1286" s="8" t="s">
        <v>5029</v>
      </c>
      <c r="E1286" s="8" t="s">
        <v>5030</v>
      </c>
      <c r="F1286" s="8" t="s">
        <v>5031</v>
      </c>
      <c r="G1286" s="8" t="s">
        <v>43</v>
      </c>
      <c r="H1286" s="8" t="s">
        <v>5032</v>
      </c>
      <c r="I1286" s="8" t="s">
        <v>58</v>
      </c>
      <c r="J1286" s="8" t="s">
        <v>43</v>
      </c>
      <c r="K1286" s="8" t="s">
        <v>43</v>
      </c>
      <c r="L1286" s="6"/>
      <c r="M1286" s="7">
        <v>46089</v>
      </c>
      <c r="N1286" s="7" t="s">
        <v>1517</v>
      </c>
      <c r="O1286" s="7" t="s">
        <v>1517</v>
      </c>
      <c r="P1286" s="6" t="s">
        <v>62</v>
      </c>
      <c r="Q1286" s="8" t="s">
        <v>5033</v>
      </c>
      <c r="R1286" t="str">
        <f>HYPERLINK("https://docs.wto.org/imrd/directdoc.asp?DDFDocuments/t/G/SPS/NBRA2454.docx", "https://docs.wto.org/imrd/directdoc.asp?DDFDocuments/t/G/SPS/NBRA2454.docx")</f>
        <v>https://docs.wto.org/imrd/directdoc.asp?DDFDocuments/t/G/SPS/NBRA2454.docx</v>
      </c>
      <c r="S1286" t="str">
        <f>HYPERLINK("https://docs.wto.org/imrd/directdoc.asp?DDFDocuments/u/G/SPS/NBRA2454.docx", "https://docs.wto.org/imrd/directdoc.asp?DDFDocuments/u/G/SPS/NBRA2454.docx")</f>
        <v>https://docs.wto.org/imrd/directdoc.asp?DDFDocuments/u/G/SPS/NBRA2454.docx</v>
      </c>
      <c r="T1286" t="str">
        <f>HYPERLINK("https://docs.wto.org/imrd/directdoc.asp?DDFDocuments/v/G/SPS/NBRA2454.docx", "https://docs.wto.org/imrd/directdoc.asp?DDFDocuments/v/G/SPS/NBRA2454.docx")</f>
        <v>https://docs.wto.org/imrd/directdoc.asp?DDFDocuments/v/G/SPS/NBRA2454.docx</v>
      </c>
      <c r="U1286" t="s">
        <v>43</v>
      </c>
      <c r="V1286" t="s">
        <v>43</v>
      </c>
      <c r="W1286" t="s">
        <v>43</v>
      </c>
      <c r="X1286" t="s">
        <v>43</v>
      </c>
      <c r="Y1286" t="s">
        <v>43</v>
      </c>
      <c r="Z1286" t="s">
        <v>43</v>
      </c>
      <c r="AA1286" t="s">
        <v>43</v>
      </c>
      <c r="AB1286" s="2" t="s">
        <v>43</v>
      </c>
      <c r="AC1286" t="s">
        <v>46</v>
      </c>
      <c r="AD1286" t="s">
        <v>46</v>
      </c>
      <c r="AE1286" t="s">
        <v>46</v>
      </c>
      <c r="AF1286" t="s">
        <v>64</v>
      </c>
      <c r="AG1286" t="s">
        <v>99</v>
      </c>
      <c r="AH1286" s="2" t="s">
        <v>43</v>
      </c>
    </row>
    <row r="1287" spans="1:34" ht="90">
      <c r="A1287" s="6" t="s">
        <v>289</v>
      </c>
      <c r="B1287" s="7">
        <v>46029</v>
      </c>
      <c r="C1287" s="9" t="str">
        <f>HYPERLINK("https://eping.wto.org/en/Search?viewData= G/SPS/N/BRA/2459"," G/SPS/N/BRA/2459")</f>
        <v xml:space="preserve"> G/SPS/N/BRA/2459</v>
      </c>
      <c r="D1287" s="8" t="s">
        <v>5034</v>
      </c>
      <c r="E1287" s="8" t="s">
        <v>5035</v>
      </c>
      <c r="F1287" s="8" t="s">
        <v>2377</v>
      </c>
      <c r="G1287" s="8" t="s">
        <v>43</v>
      </c>
      <c r="H1287" s="8" t="s">
        <v>953</v>
      </c>
      <c r="I1287" s="8" t="s">
        <v>58</v>
      </c>
      <c r="J1287" s="8" t="s">
        <v>43</v>
      </c>
      <c r="K1287" s="8" t="s">
        <v>43</v>
      </c>
      <c r="L1287" s="6"/>
      <c r="M1287" s="7">
        <v>46089</v>
      </c>
      <c r="N1287" s="7" t="s">
        <v>1517</v>
      </c>
      <c r="O1287" s="7" t="s">
        <v>1517</v>
      </c>
      <c r="P1287" s="6" t="s">
        <v>62</v>
      </c>
      <c r="Q1287" s="8" t="s">
        <v>5036</v>
      </c>
      <c r="R1287" t="str">
        <f>HYPERLINK("https://docs.wto.org/imrd/directdoc.asp?DDFDocuments/t/G/SPS/NBRA2459.docx", "https://docs.wto.org/imrd/directdoc.asp?DDFDocuments/t/G/SPS/NBRA2459.docx")</f>
        <v>https://docs.wto.org/imrd/directdoc.asp?DDFDocuments/t/G/SPS/NBRA2459.docx</v>
      </c>
      <c r="S1287" t="str">
        <f>HYPERLINK("https://docs.wto.org/imrd/directdoc.asp?DDFDocuments/u/G/SPS/NBRA2459.docx", "https://docs.wto.org/imrd/directdoc.asp?DDFDocuments/u/G/SPS/NBRA2459.docx")</f>
        <v>https://docs.wto.org/imrd/directdoc.asp?DDFDocuments/u/G/SPS/NBRA2459.docx</v>
      </c>
      <c r="T1287" t="str">
        <f>HYPERLINK("https://docs.wto.org/imrd/directdoc.asp?DDFDocuments/v/G/SPS/NBRA2459.docx", "https://docs.wto.org/imrd/directdoc.asp?DDFDocuments/v/G/SPS/NBRA2459.docx")</f>
        <v>https://docs.wto.org/imrd/directdoc.asp?DDFDocuments/v/G/SPS/NBRA2459.docx</v>
      </c>
      <c r="U1287" t="s">
        <v>43</v>
      </c>
      <c r="V1287" t="s">
        <v>43</v>
      </c>
      <c r="W1287" t="s">
        <v>43</v>
      </c>
      <c r="X1287" t="s">
        <v>43</v>
      </c>
      <c r="Y1287" t="s">
        <v>43</v>
      </c>
      <c r="Z1287" t="s">
        <v>43</v>
      </c>
      <c r="AA1287" t="s">
        <v>43</v>
      </c>
      <c r="AB1287" s="2" t="s">
        <v>43</v>
      </c>
      <c r="AC1287" t="s">
        <v>46</v>
      </c>
      <c r="AD1287" t="s">
        <v>46</v>
      </c>
      <c r="AE1287" t="s">
        <v>46</v>
      </c>
      <c r="AF1287" t="s">
        <v>64</v>
      </c>
      <c r="AG1287" t="s">
        <v>99</v>
      </c>
      <c r="AH1287" s="2" t="s">
        <v>43</v>
      </c>
    </row>
    <row r="1288" spans="1:34" ht="60">
      <c r="A1288" s="6" t="s">
        <v>756</v>
      </c>
      <c r="B1288" s="7">
        <v>46029</v>
      </c>
      <c r="C1288" s="9" t="str">
        <f>HYPERLINK("https://eping.wto.org/en/Search?viewData= G/SPS/N/PER/1104"," G/SPS/N/PER/1104")</f>
        <v xml:space="preserve"> G/SPS/N/PER/1104</v>
      </c>
      <c r="D1288" s="8" t="s">
        <v>5037</v>
      </c>
      <c r="E1288" s="8" t="s">
        <v>5038</v>
      </c>
      <c r="F1288" s="8" t="s">
        <v>5039</v>
      </c>
      <c r="G1288" s="8" t="s">
        <v>760</v>
      </c>
      <c r="H1288" s="8" t="s">
        <v>43</v>
      </c>
      <c r="I1288" s="8" t="s">
        <v>254</v>
      </c>
      <c r="J1288" s="8" t="s">
        <v>43</v>
      </c>
      <c r="K1288" s="8" t="s">
        <v>2469</v>
      </c>
      <c r="L1288" s="6" t="s">
        <v>289</v>
      </c>
      <c r="M1288" s="7">
        <v>46089</v>
      </c>
      <c r="N1288" s="7" t="s">
        <v>79</v>
      </c>
      <c r="O1288" s="7" t="s">
        <v>5040</v>
      </c>
      <c r="P1288" s="6" t="s">
        <v>62</v>
      </c>
      <c r="Q1288" s="8" t="s">
        <v>5041</v>
      </c>
      <c r="R1288" t="str">
        <f>HYPERLINK("https://docs.wto.org/imrd/directdoc.asp?DDFDocuments/t/G/SPS/NPER1104.docx", "https://docs.wto.org/imrd/directdoc.asp?DDFDocuments/t/G/SPS/NPER1104.docx")</f>
        <v>https://docs.wto.org/imrd/directdoc.asp?DDFDocuments/t/G/SPS/NPER1104.docx</v>
      </c>
      <c r="S1288" t="str">
        <f>HYPERLINK("https://docs.wto.org/imrd/directdoc.asp?DDFDocuments/u/G/SPS/NPER1104.docx", "https://docs.wto.org/imrd/directdoc.asp?DDFDocuments/u/G/SPS/NPER1104.docx")</f>
        <v>https://docs.wto.org/imrd/directdoc.asp?DDFDocuments/u/G/SPS/NPER1104.docx</v>
      </c>
      <c r="T1288" t="str">
        <f>HYPERLINK("https://docs.wto.org/imrd/directdoc.asp?DDFDocuments/v/G/SPS/NPER1104.docx", "https://docs.wto.org/imrd/directdoc.asp?DDFDocuments/v/G/SPS/NPER1104.docx")</f>
        <v>https://docs.wto.org/imrd/directdoc.asp?DDFDocuments/v/G/SPS/NPER1104.docx</v>
      </c>
      <c r="U1288" t="s">
        <v>43</v>
      </c>
      <c r="V1288" t="s">
        <v>43</v>
      </c>
      <c r="W1288" t="s">
        <v>43</v>
      </c>
      <c r="X1288" t="s">
        <v>43</v>
      </c>
      <c r="Y1288" t="s">
        <v>43</v>
      </c>
      <c r="Z1288" t="s">
        <v>43</v>
      </c>
      <c r="AA1288" t="s">
        <v>43</v>
      </c>
      <c r="AB1288" s="2" t="s">
        <v>43</v>
      </c>
      <c r="AC1288" t="s">
        <v>46</v>
      </c>
      <c r="AD1288" t="s">
        <v>46</v>
      </c>
      <c r="AE1288" t="s">
        <v>64</v>
      </c>
      <c r="AF1288" t="s">
        <v>46</v>
      </c>
      <c r="AG1288" t="s">
        <v>64</v>
      </c>
      <c r="AH1288" s="2" t="s">
        <v>43</v>
      </c>
    </row>
    <row r="1289" spans="1:34" ht="375">
      <c r="A1289" s="6" t="s">
        <v>904</v>
      </c>
      <c r="B1289" s="7">
        <v>46029</v>
      </c>
      <c r="C1289" s="9" t="str">
        <f>HYPERLINK("https://eping.wto.org/en/Search?viewData= G/TBT/N/MEX/553"," G/TBT/N/MEX/553")</f>
        <v xml:space="preserve"> G/TBT/N/MEX/553</v>
      </c>
      <c r="D1289" s="8" t="s">
        <v>5042</v>
      </c>
      <c r="E1289" s="8" t="s">
        <v>5043</v>
      </c>
      <c r="F1289" s="8" t="s">
        <v>5044</v>
      </c>
      <c r="G1289" s="8" t="s">
        <v>43</v>
      </c>
      <c r="H1289" s="8" t="s">
        <v>43</v>
      </c>
      <c r="I1289" s="8" t="s">
        <v>137</v>
      </c>
      <c r="J1289" s="8" t="s">
        <v>43</v>
      </c>
      <c r="K1289" s="8" t="s">
        <v>43</v>
      </c>
      <c r="L1289" s="6"/>
      <c r="M1289" s="7">
        <v>46089</v>
      </c>
      <c r="N1289" s="7" t="s">
        <v>79</v>
      </c>
      <c r="O1289" s="7" t="s">
        <v>79</v>
      </c>
      <c r="P1289" s="6" t="s">
        <v>62</v>
      </c>
      <c r="Q1289" s="8" t="s">
        <v>5045</v>
      </c>
      <c r="R1289" t="str">
        <f>HYPERLINK("https://docs.wto.org/imrd/directdoc.asp?DDFDocuments/t/G/TBTN26/MEX553.docx", "https://docs.wto.org/imrd/directdoc.asp?DDFDocuments/t/G/TBTN26/MEX553.docx")</f>
        <v>https://docs.wto.org/imrd/directdoc.asp?DDFDocuments/t/G/TBTN26/MEX553.docx</v>
      </c>
      <c r="S1289" t="str">
        <f>HYPERLINK("https://docs.wto.org/imrd/directdoc.asp?DDFDocuments/u/G/TBTN26/MEX553.docx", "https://docs.wto.org/imrd/directdoc.asp?DDFDocuments/u/G/TBTN26/MEX553.docx")</f>
        <v>https://docs.wto.org/imrd/directdoc.asp?DDFDocuments/u/G/TBTN26/MEX553.docx</v>
      </c>
      <c r="T1289" t="str">
        <f>HYPERLINK("https://docs.wto.org/imrd/directdoc.asp?DDFDocuments/v/G/TBTN26/MEX553.docx", "https://docs.wto.org/imrd/directdoc.asp?DDFDocuments/v/G/TBTN26/MEX553.docx")</f>
        <v>https://docs.wto.org/imrd/directdoc.asp?DDFDocuments/v/G/TBTN26/MEX553.docx</v>
      </c>
      <c r="U1289" t="s">
        <v>64</v>
      </c>
      <c r="V1289" t="s">
        <v>46</v>
      </c>
      <c r="W1289" t="s">
        <v>64</v>
      </c>
      <c r="X1289" t="s">
        <v>46</v>
      </c>
      <c r="Y1289" t="s">
        <v>46</v>
      </c>
      <c r="Z1289" t="s">
        <v>46</v>
      </c>
      <c r="AA1289" t="s">
        <v>46</v>
      </c>
      <c r="AB1289" s="2" t="s">
        <v>5046</v>
      </c>
      <c r="AC1289" t="s">
        <v>43</v>
      </c>
      <c r="AD1289" t="s">
        <v>43</v>
      </c>
      <c r="AE1289" t="s">
        <v>43</v>
      </c>
      <c r="AF1289" t="s">
        <v>43</v>
      </c>
      <c r="AG1289" t="s">
        <v>43</v>
      </c>
      <c r="AH1289" s="2" t="s">
        <v>43</v>
      </c>
    </row>
    <row r="1290" spans="1:34" ht="225">
      <c r="A1290" s="6" t="s">
        <v>892</v>
      </c>
      <c r="B1290" s="7">
        <v>46029</v>
      </c>
      <c r="C1290" s="9" t="str">
        <f>HYPERLINK("https://eping.wto.org/en/Search?viewData= G/TBT/N/PAN/146"," G/TBT/N/PAN/146")</f>
        <v xml:space="preserve"> G/TBT/N/PAN/146</v>
      </c>
      <c r="D1290" s="8" t="s">
        <v>5047</v>
      </c>
      <c r="E1290" s="8" t="s">
        <v>5048</v>
      </c>
      <c r="F1290" s="8" t="s">
        <v>4978</v>
      </c>
      <c r="G1290" s="8" t="s">
        <v>43</v>
      </c>
      <c r="H1290" s="8" t="s">
        <v>4877</v>
      </c>
      <c r="I1290" s="8" t="s">
        <v>1483</v>
      </c>
      <c r="J1290" s="8" t="s">
        <v>43</v>
      </c>
      <c r="K1290" s="8" t="s">
        <v>240</v>
      </c>
      <c r="L1290" s="6"/>
      <c r="M1290" s="7">
        <v>46089</v>
      </c>
      <c r="N1290" s="7" t="s">
        <v>79</v>
      </c>
      <c r="O1290" s="7" t="s">
        <v>79</v>
      </c>
      <c r="P1290" s="6" t="s">
        <v>62</v>
      </c>
      <c r="Q1290" s="8" t="s">
        <v>5049</v>
      </c>
      <c r="R1290" t="str">
        <f>HYPERLINK("https://docs.wto.org/imrd/directdoc.asp?DDFDocuments/t/G/TBTN26/PAN146.docx", "https://docs.wto.org/imrd/directdoc.asp?DDFDocuments/t/G/TBTN26/PAN146.docx")</f>
        <v>https://docs.wto.org/imrd/directdoc.asp?DDFDocuments/t/G/TBTN26/PAN146.docx</v>
      </c>
      <c r="S1290" t="str">
        <f>HYPERLINK("https://docs.wto.org/imrd/directdoc.asp?DDFDocuments/u/G/TBTN26/PAN146.docx", "https://docs.wto.org/imrd/directdoc.asp?DDFDocuments/u/G/TBTN26/PAN146.docx")</f>
        <v>https://docs.wto.org/imrd/directdoc.asp?DDFDocuments/u/G/TBTN26/PAN146.docx</v>
      </c>
      <c r="T1290" t="str">
        <f>HYPERLINK("https://docs.wto.org/imrd/directdoc.asp?DDFDocuments/v/G/TBTN26/PAN146.docx", "https://docs.wto.org/imrd/directdoc.asp?DDFDocuments/v/G/TBTN26/PAN146.docx")</f>
        <v>https://docs.wto.org/imrd/directdoc.asp?DDFDocuments/v/G/TBTN26/PAN146.docx</v>
      </c>
      <c r="U1290" t="s">
        <v>64</v>
      </c>
      <c r="V1290" t="s">
        <v>46</v>
      </c>
      <c r="W1290" t="s">
        <v>46</v>
      </c>
      <c r="X1290" t="s">
        <v>46</v>
      </c>
      <c r="Y1290" t="s">
        <v>46</v>
      </c>
      <c r="Z1290" t="s">
        <v>46</v>
      </c>
      <c r="AA1290" t="s">
        <v>46</v>
      </c>
      <c r="AB1290" s="2" t="s">
        <v>4980</v>
      </c>
      <c r="AC1290" t="s">
        <v>43</v>
      </c>
      <c r="AD1290" t="s">
        <v>43</v>
      </c>
      <c r="AE1290" t="s">
        <v>43</v>
      </c>
      <c r="AF1290" t="s">
        <v>43</v>
      </c>
      <c r="AG1290" t="s">
        <v>43</v>
      </c>
      <c r="AH1290" s="2" t="s">
        <v>43</v>
      </c>
    </row>
    <row r="1291" spans="1:34" ht="90">
      <c r="A1291" s="6" t="s">
        <v>185</v>
      </c>
      <c r="B1291" s="7">
        <v>46029</v>
      </c>
      <c r="C1291" s="9" t="str">
        <f>HYPERLINK("https://eping.wto.org/en/Search?viewData= G/TBT/N/CHN/2180"," G/TBT/N/CHN/2180")</f>
        <v xml:space="preserve"> G/TBT/N/CHN/2180</v>
      </c>
      <c r="D1291" s="8" t="s">
        <v>5050</v>
      </c>
      <c r="E1291" s="8" t="s">
        <v>5051</v>
      </c>
      <c r="F1291" s="8" t="s">
        <v>5052</v>
      </c>
      <c r="G1291" s="8" t="s">
        <v>5053</v>
      </c>
      <c r="H1291" s="8" t="s">
        <v>5008</v>
      </c>
      <c r="I1291" s="8" t="s">
        <v>275</v>
      </c>
      <c r="J1291" s="8" t="s">
        <v>43</v>
      </c>
      <c r="K1291" s="8" t="s">
        <v>43</v>
      </c>
      <c r="L1291" s="6"/>
      <c r="M1291" s="7" t="s">
        <v>43</v>
      </c>
      <c r="N1291" s="7" t="s">
        <v>79</v>
      </c>
      <c r="O1291" s="7" t="s">
        <v>192</v>
      </c>
      <c r="P1291" s="6" t="s">
        <v>62</v>
      </c>
      <c r="Q1291" s="8" t="s">
        <v>5054</v>
      </c>
      <c r="R1291" t="str">
        <f>HYPERLINK("https://docs.wto.org/imrd/directdoc.asp?DDFDocuments/t/G/TBTN26/CHN2180.docx", "https://docs.wto.org/imrd/directdoc.asp?DDFDocuments/t/G/TBTN26/CHN2180.docx")</f>
        <v>https://docs.wto.org/imrd/directdoc.asp?DDFDocuments/t/G/TBTN26/CHN2180.docx</v>
      </c>
      <c r="S1291" t="str">
        <f>HYPERLINK("https://docs.wto.org/imrd/directdoc.asp?DDFDocuments/u/G/TBTN26/CHN2180.docx", "https://docs.wto.org/imrd/directdoc.asp?DDFDocuments/u/G/TBTN26/CHN2180.docx")</f>
        <v>https://docs.wto.org/imrd/directdoc.asp?DDFDocuments/u/G/TBTN26/CHN2180.docx</v>
      </c>
      <c r="T1291" t="str">
        <f>HYPERLINK("https://docs.wto.org/imrd/directdoc.asp?DDFDocuments/v/G/TBTN26/CHN2180.docx", "https://docs.wto.org/imrd/directdoc.asp?DDFDocuments/v/G/TBTN26/CHN2180.docx")</f>
        <v>https://docs.wto.org/imrd/directdoc.asp?DDFDocuments/v/G/TBTN26/CHN2180.docx</v>
      </c>
      <c r="U1291" t="s">
        <v>46</v>
      </c>
      <c r="V1291" t="s">
        <v>46</v>
      </c>
      <c r="W1291" t="s">
        <v>46</v>
      </c>
      <c r="X1291" t="s">
        <v>64</v>
      </c>
      <c r="Y1291" t="s">
        <v>46</v>
      </c>
      <c r="Z1291" t="s">
        <v>46</v>
      </c>
      <c r="AA1291" t="s">
        <v>46</v>
      </c>
      <c r="AB1291" s="2" t="s">
        <v>43</v>
      </c>
      <c r="AC1291" t="s">
        <v>43</v>
      </c>
      <c r="AD1291" t="s">
        <v>43</v>
      </c>
      <c r="AE1291" t="s">
        <v>43</v>
      </c>
      <c r="AF1291" t="s">
        <v>43</v>
      </c>
      <c r="AG1291" t="s">
        <v>43</v>
      </c>
      <c r="AH1291" s="2" t="s">
        <v>43</v>
      </c>
    </row>
    <row r="1292" spans="1:34" ht="75">
      <c r="A1292" s="6" t="s">
        <v>289</v>
      </c>
      <c r="B1292" s="7">
        <v>46029</v>
      </c>
      <c r="C1292" s="9" t="str">
        <f>HYPERLINK("https://eping.wto.org/en/Search?viewData= G/SPS/N/BRA/2457"," G/SPS/N/BRA/2457")</f>
        <v xml:space="preserve"> G/SPS/N/BRA/2457</v>
      </c>
      <c r="D1292" s="8" t="s">
        <v>5055</v>
      </c>
      <c r="E1292" s="8" t="s">
        <v>5056</v>
      </c>
      <c r="F1292" s="8" t="s">
        <v>1515</v>
      </c>
      <c r="G1292" s="8" t="s">
        <v>43</v>
      </c>
      <c r="H1292" s="8" t="s">
        <v>1516</v>
      </c>
      <c r="I1292" s="8" t="s">
        <v>58</v>
      </c>
      <c r="J1292" s="8" t="s">
        <v>43</v>
      </c>
      <c r="K1292" s="8" t="s">
        <v>2405</v>
      </c>
      <c r="L1292" s="6"/>
      <c r="M1292" s="7">
        <v>46089</v>
      </c>
      <c r="N1292" s="7" t="s">
        <v>1517</v>
      </c>
      <c r="O1292" s="7" t="s">
        <v>1517</v>
      </c>
      <c r="P1292" s="6" t="s">
        <v>62</v>
      </c>
      <c r="Q1292" s="8" t="s">
        <v>5057</v>
      </c>
      <c r="R1292" t="str">
        <f>HYPERLINK("https://docs.wto.org/imrd/directdoc.asp?DDFDocuments/t/G/SPS/NBRA2457.docx", "https://docs.wto.org/imrd/directdoc.asp?DDFDocuments/t/G/SPS/NBRA2457.docx")</f>
        <v>https://docs.wto.org/imrd/directdoc.asp?DDFDocuments/t/G/SPS/NBRA2457.docx</v>
      </c>
      <c r="S1292" t="str">
        <f>HYPERLINK("https://docs.wto.org/imrd/directdoc.asp?DDFDocuments/u/G/SPS/NBRA2457.docx", "https://docs.wto.org/imrd/directdoc.asp?DDFDocuments/u/G/SPS/NBRA2457.docx")</f>
        <v>https://docs.wto.org/imrd/directdoc.asp?DDFDocuments/u/G/SPS/NBRA2457.docx</v>
      </c>
      <c r="T1292" t="str">
        <f>HYPERLINK("https://docs.wto.org/imrd/directdoc.asp?DDFDocuments/v/G/SPS/NBRA2457.docx", "https://docs.wto.org/imrd/directdoc.asp?DDFDocuments/v/G/SPS/NBRA2457.docx")</f>
        <v>https://docs.wto.org/imrd/directdoc.asp?DDFDocuments/v/G/SPS/NBRA2457.docx</v>
      </c>
      <c r="U1292" t="s">
        <v>43</v>
      </c>
      <c r="V1292" t="s">
        <v>43</v>
      </c>
      <c r="W1292" t="s">
        <v>43</v>
      </c>
      <c r="X1292" t="s">
        <v>43</v>
      </c>
      <c r="Y1292" t="s">
        <v>43</v>
      </c>
      <c r="Z1292" t="s">
        <v>43</v>
      </c>
      <c r="AA1292" t="s">
        <v>43</v>
      </c>
      <c r="AB1292" s="2" t="s">
        <v>43</v>
      </c>
      <c r="AC1292" t="s">
        <v>46</v>
      </c>
      <c r="AD1292" t="s">
        <v>46</v>
      </c>
      <c r="AE1292" t="s">
        <v>46</v>
      </c>
      <c r="AF1292" t="s">
        <v>64</v>
      </c>
      <c r="AG1292" t="s">
        <v>99</v>
      </c>
      <c r="AH1292" s="2" t="s">
        <v>43</v>
      </c>
    </row>
    <row r="1293" spans="1:34" ht="75">
      <c r="A1293" s="6" t="s">
        <v>892</v>
      </c>
      <c r="B1293" s="7">
        <v>46029</v>
      </c>
      <c r="C1293" s="9" t="str">
        <f>HYPERLINK("https://eping.wto.org/en/Search?viewData= G/SPS/N/PAN/96"," G/SPS/N/PAN/96")</f>
        <v xml:space="preserve"> G/SPS/N/PAN/96</v>
      </c>
      <c r="D1293" s="8" t="s">
        <v>5058</v>
      </c>
      <c r="E1293" s="8" t="s">
        <v>5059</v>
      </c>
      <c r="F1293" s="8" t="s">
        <v>1411</v>
      </c>
      <c r="G1293" s="8" t="s">
        <v>458</v>
      </c>
      <c r="H1293" s="8" t="s">
        <v>459</v>
      </c>
      <c r="I1293" s="8" t="s">
        <v>1090</v>
      </c>
      <c r="J1293" s="8" t="s">
        <v>43</v>
      </c>
      <c r="K1293" s="8" t="s">
        <v>310</v>
      </c>
      <c r="L1293" s="6" t="s">
        <v>43</v>
      </c>
      <c r="M1293" s="7">
        <v>46089</v>
      </c>
      <c r="N1293" s="7" t="s">
        <v>79</v>
      </c>
      <c r="O1293" s="7" t="s">
        <v>79</v>
      </c>
      <c r="P1293" s="6" t="s">
        <v>62</v>
      </c>
      <c r="Q1293" s="8" t="s">
        <v>5060</v>
      </c>
      <c r="R1293" t="str">
        <f>HYPERLINK("https://docs.wto.org/imrd/directdoc.asp?DDFDocuments/t/G/SPS/NPAN96.docx", "https://docs.wto.org/imrd/directdoc.asp?DDFDocuments/t/G/SPS/NPAN96.docx")</f>
        <v>https://docs.wto.org/imrd/directdoc.asp?DDFDocuments/t/G/SPS/NPAN96.docx</v>
      </c>
      <c r="S1293" t="str">
        <f>HYPERLINK("https://docs.wto.org/imrd/directdoc.asp?DDFDocuments/u/G/SPS/NPAN96.docx", "https://docs.wto.org/imrd/directdoc.asp?DDFDocuments/u/G/SPS/NPAN96.docx")</f>
        <v>https://docs.wto.org/imrd/directdoc.asp?DDFDocuments/u/G/SPS/NPAN96.docx</v>
      </c>
      <c r="T1293" t="str">
        <f>HYPERLINK("https://docs.wto.org/imrd/directdoc.asp?DDFDocuments/v/G/SPS/NPAN96.docx", "https://docs.wto.org/imrd/directdoc.asp?DDFDocuments/v/G/SPS/NPAN96.docx")</f>
        <v>https://docs.wto.org/imrd/directdoc.asp?DDFDocuments/v/G/SPS/NPAN96.docx</v>
      </c>
      <c r="U1293" t="s">
        <v>43</v>
      </c>
      <c r="V1293" t="s">
        <v>43</v>
      </c>
      <c r="W1293" t="s">
        <v>43</v>
      </c>
      <c r="X1293" t="s">
        <v>43</v>
      </c>
      <c r="Y1293" t="s">
        <v>43</v>
      </c>
      <c r="Z1293" t="s">
        <v>43</v>
      </c>
      <c r="AA1293" t="s">
        <v>43</v>
      </c>
      <c r="AB1293" s="2" t="s">
        <v>43</v>
      </c>
      <c r="AC1293" t="s">
        <v>64</v>
      </c>
      <c r="AD1293" t="s">
        <v>46</v>
      </c>
      <c r="AE1293" t="s">
        <v>46</v>
      </c>
      <c r="AF1293" t="s">
        <v>46</v>
      </c>
      <c r="AG1293" t="s">
        <v>64</v>
      </c>
      <c r="AH1293" s="2" t="s">
        <v>43</v>
      </c>
    </row>
    <row r="1294" spans="1:34" ht="60">
      <c r="A1294" s="6" t="s">
        <v>892</v>
      </c>
      <c r="B1294" s="7">
        <v>46029</v>
      </c>
      <c r="C1294" s="9" t="str">
        <f>HYPERLINK("https://eping.wto.org/en/Search?viewData= G/SPS/N/PAN/101"," G/SPS/N/PAN/101")</f>
        <v xml:space="preserve"> G/SPS/N/PAN/101</v>
      </c>
      <c r="D1294" s="8" t="s">
        <v>5061</v>
      </c>
      <c r="E1294" s="8" t="s">
        <v>5062</v>
      </c>
      <c r="F1294" s="8" t="s">
        <v>4876</v>
      </c>
      <c r="G1294" s="8" t="s">
        <v>5063</v>
      </c>
      <c r="H1294" s="8" t="s">
        <v>4877</v>
      </c>
      <c r="I1294" s="8" t="s">
        <v>1090</v>
      </c>
      <c r="J1294" s="8" t="s">
        <v>43</v>
      </c>
      <c r="K1294" s="8" t="s">
        <v>157</v>
      </c>
      <c r="L1294" s="6" t="s">
        <v>43</v>
      </c>
      <c r="M1294" s="7">
        <v>46089</v>
      </c>
      <c r="N1294" s="7" t="s">
        <v>79</v>
      </c>
      <c r="O1294" s="7" t="s">
        <v>79</v>
      </c>
      <c r="P1294" s="6" t="s">
        <v>62</v>
      </c>
      <c r="Q1294" s="8" t="s">
        <v>5064</v>
      </c>
      <c r="R1294" t="str">
        <f>HYPERLINK("https://docs.wto.org/imrd/directdoc.asp?DDFDocuments/t/G/SPS/NPAN101.docx", "https://docs.wto.org/imrd/directdoc.asp?DDFDocuments/t/G/SPS/NPAN101.docx")</f>
        <v>https://docs.wto.org/imrd/directdoc.asp?DDFDocuments/t/G/SPS/NPAN101.docx</v>
      </c>
      <c r="S1294" t="str">
        <f>HYPERLINK("https://docs.wto.org/imrd/directdoc.asp?DDFDocuments/u/G/SPS/NPAN101.docx", "https://docs.wto.org/imrd/directdoc.asp?DDFDocuments/u/G/SPS/NPAN101.docx")</f>
        <v>https://docs.wto.org/imrd/directdoc.asp?DDFDocuments/u/G/SPS/NPAN101.docx</v>
      </c>
      <c r="T1294" t="str">
        <f>HYPERLINK("https://docs.wto.org/imrd/directdoc.asp?DDFDocuments/v/G/SPS/NPAN101.docx", "https://docs.wto.org/imrd/directdoc.asp?DDFDocuments/v/G/SPS/NPAN101.docx")</f>
        <v>https://docs.wto.org/imrd/directdoc.asp?DDFDocuments/v/G/SPS/NPAN101.docx</v>
      </c>
      <c r="U1294" t="s">
        <v>43</v>
      </c>
      <c r="V1294" t="s">
        <v>43</v>
      </c>
      <c r="W1294" t="s">
        <v>43</v>
      </c>
      <c r="X1294" t="s">
        <v>43</v>
      </c>
      <c r="Y1294" t="s">
        <v>43</v>
      </c>
      <c r="Z1294" t="s">
        <v>43</v>
      </c>
      <c r="AA1294" t="s">
        <v>43</v>
      </c>
      <c r="AB1294" s="2" t="s">
        <v>43</v>
      </c>
      <c r="AC1294" t="s">
        <v>64</v>
      </c>
      <c r="AD1294" t="s">
        <v>46</v>
      </c>
      <c r="AE1294" t="s">
        <v>46</v>
      </c>
      <c r="AF1294" t="s">
        <v>46</v>
      </c>
      <c r="AG1294" t="s">
        <v>64</v>
      </c>
      <c r="AH1294" s="2" t="s">
        <v>43</v>
      </c>
    </row>
    <row r="1295" spans="1:34" ht="409.5">
      <c r="A1295" s="6" t="s">
        <v>904</v>
      </c>
      <c r="B1295" s="7">
        <v>46029</v>
      </c>
      <c r="C1295" s="9" t="str">
        <f>HYPERLINK("https://eping.wto.org/en/Search?viewData= G/TBT/N/MEX/551"," G/TBT/N/MEX/551")</f>
        <v xml:space="preserve"> G/TBT/N/MEX/551</v>
      </c>
      <c r="D1295" s="8" t="s">
        <v>5065</v>
      </c>
      <c r="E1295" s="8" t="s">
        <v>5066</v>
      </c>
      <c r="F1295" s="8" t="s">
        <v>5067</v>
      </c>
      <c r="G1295" s="8" t="s">
        <v>43</v>
      </c>
      <c r="H1295" s="8" t="s">
        <v>43</v>
      </c>
      <c r="I1295" s="8" t="s">
        <v>137</v>
      </c>
      <c r="J1295" s="8" t="s">
        <v>43</v>
      </c>
      <c r="K1295" s="8" t="s">
        <v>43</v>
      </c>
      <c r="L1295" s="6"/>
      <c r="M1295" s="7">
        <v>46089</v>
      </c>
      <c r="N1295" s="7" t="s">
        <v>79</v>
      </c>
      <c r="O1295" s="7" t="s">
        <v>79</v>
      </c>
      <c r="P1295" s="6" t="s">
        <v>62</v>
      </c>
      <c r="Q1295" s="8" t="s">
        <v>5068</v>
      </c>
      <c r="R1295" t="str">
        <f>HYPERLINK("https://docs.wto.org/imrd/directdoc.asp?DDFDocuments/t/G/TBTN26/MEX551.docx", "https://docs.wto.org/imrd/directdoc.asp?DDFDocuments/t/G/TBTN26/MEX551.docx")</f>
        <v>https://docs.wto.org/imrd/directdoc.asp?DDFDocuments/t/G/TBTN26/MEX551.docx</v>
      </c>
      <c r="S1295" t="str">
        <f>HYPERLINK("https://docs.wto.org/imrd/directdoc.asp?DDFDocuments/u/G/TBTN26/MEX551.docx", "https://docs.wto.org/imrd/directdoc.asp?DDFDocuments/u/G/TBTN26/MEX551.docx")</f>
        <v>https://docs.wto.org/imrd/directdoc.asp?DDFDocuments/u/G/TBTN26/MEX551.docx</v>
      </c>
      <c r="T1295" t="str">
        <f>HYPERLINK("https://docs.wto.org/imrd/directdoc.asp?DDFDocuments/v/G/TBTN26/MEX551.docx", "https://docs.wto.org/imrd/directdoc.asp?DDFDocuments/v/G/TBTN26/MEX551.docx")</f>
        <v>https://docs.wto.org/imrd/directdoc.asp?DDFDocuments/v/G/TBTN26/MEX551.docx</v>
      </c>
      <c r="U1295" t="s">
        <v>64</v>
      </c>
      <c r="V1295" t="s">
        <v>46</v>
      </c>
      <c r="W1295" t="s">
        <v>64</v>
      </c>
      <c r="X1295" t="s">
        <v>46</v>
      </c>
      <c r="Y1295" t="s">
        <v>46</v>
      </c>
      <c r="Z1295" t="s">
        <v>46</v>
      </c>
      <c r="AA1295" t="s">
        <v>46</v>
      </c>
      <c r="AB1295" s="2" t="s">
        <v>5069</v>
      </c>
      <c r="AC1295" t="s">
        <v>43</v>
      </c>
      <c r="AD1295" t="s">
        <v>43</v>
      </c>
      <c r="AE1295" t="s">
        <v>43</v>
      </c>
      <c r="AF1295" t="s">
        <v>43</v>
      </c>
      <c r="AG1295" t="s">
        <v>43</v>
      </c>
      <c r="AH1295" s="2" t="s">
        <v>43</v>
      </c>
    </row>
    <row r="1296" spans="1:34" ht="255">
      <c r="A1296" s="6" t="s">
        <v>892</v>
      </c>
      <c r="B1296" s="7">
        <v>46029</v>
      </c>
      <c r="C1296" s="9" t="str">
        <f>HYPERLINK("https://eping.wto.org/en/Search?viewData= G/TBT/N/PAN/151"," G/TBT/N/PAN/151")</f>
        <v xml:space="preserve"> G/TBT/N/PAN/151</v>
      </c>
      <c r="D1296" s="8" t="s">
        <v>5070</v>
      </c>
      <c r="E1296" s="8" t="s">
        <v>5071</v>
      </c>
      <c r="F1296" s="8" t="s">
        <v>1482</v>
      </c>
      <c r="G1296" s="8" t="s">
        <v>43</v>
      </c>
      <c r="H1296" s="8" t="s">
        <v>459</v>
      </c>
      <c r="I1296" s="8" t="s">
        <v>1483</v>
      </c>
      <c r="J1296" s="8" t="s">
        <v>43</v>
      </c>
      <c r="K1296" s="8" t="s">
        <v>240</v>
      </c>
      <c r="L1296" s="6"/>
      <c r="M1296" s="7">
        <v>46089</v>
      </c>
      <c r="N1296" s="7" t="s">
        <v>79</v>
      </c>
      <c r="O1296" s="7" t="s">
        <v>79</v>
      </c>
      <c r="P1296" s="6" t="s">
        <v>62</v>
      </c>
      <c r="Q1296" s="8" t="s">
        <v>5072</v>
      </c>
      <c r="R1296" t="str">
        <f>HYPERLINK("https://docs.wto.org/imrd/directdoc.asp?DDFDocuments/t/G/TBTN26/PAN151.docx", "https://docs.wto.org/imrd/directdoc.asp?DDFDocuments/t/G/TBTN26/PAN151.docx")</f>
        <v>https://docs.wto.org/imrd/directdoc.asp?DDFDocuments/t/G/TBTN26/PAN151.docx</v>
      </c>
      <c r="S1296" t="str">
        <f>HYPERLINK("https://docs.wto.org/imrd/directdoc.asp?DDFDocuments/u/G/TBTN26/PAN151.docx", "https://docs.wto.org/imrd/directdoc.asp?DDFDocuments/u/G/TBTN26/PAN151.docx")</f>
        <v>https://docs.wto.org/imrd/directdoc.asp?DDFDocuments/u/G/TBTN26/PAN151.docx</v>
      </c>
      <c r="T1296" t="str">
        <f>HYPERLINK("https://docs.wto.org/imrd/directdoc.asp?DDFDocuments/v/G/TBTN26/PAN151.docx", "https://docs.wto.org/imrd/directdoc.asp?DDFDocuments/v/G/TBTN26/PAN151.docx")</f>
        <v>https://docs.wto.org/imrd/directdoc.asp?DDFDocuments/v/G/TBTN26/PAN151.docx</v>
      </c>
      <c r="U1296" t="s">
        <v>64</v>
      </c>
      <c r="V1296" t="s">
        <v>46</v>
      </c>
      <c r="W1296" t="s">
        <v>46</v>
      </c>
      <c r="X1296" t="s">
        <v>46</v>
      </c>
      <c r="Y1296" t="s">
        <v>46</v>
      </c>
      <c r="Z1296" t="s">
        <v>46</v>
      </c>
      <c r="AA1296" t="s">
        <v>46</v>
      </c>
      <c r="AB1296" s="2" t="s">
        <v>5073</v>
      </c>
      <c r="AC1296" t="s">
        <v>43</v>
      </c>
      <c r="AD1296" t="s">
        <v>43</v>
      </c>
      <c r="AE1296" t="s">
        <v>43</v>
      </c>
      <c r="AF1296" t="s">
        <v>43</v>
      </c>
      <c r="AG1296" t="s">
        <v>43</v>
      </c>
      <c r="AH1296" s="2" t="s">
        <v>43</v>
      </c>
    </row>
    <row r="1297" spans="1:34" ht="90">
      <c r="A1297" s="6" t="s">
        <v>124</v>
      </c>
      <c r="B1297" s="7">
        <v>46029</v>
      </c>
      <c r="C1297" s="9" t="str">
        <f>HYPERLINK("https://eping.wto.org/en/Search?viewData= G/TBT/N/BDI/703, G/TBT/N/KEN/1967, G/TBT/N/RWA/1333, G/TBT/N/TZA/1483, G/TBT/N/UGA/2301"," G/TBT/N/BDI/703, G/TBT/N/KEN/1967, G/TBT/N/RWA/1333, G/TBT/N/TZA/1483, G/TBT/N/UGA/2301")</f>
        <v xml:space="preserve"> G/TBT/N/BDI/703, G/TBT/N/KEN/1967, G/TBT/N/RWA/1333, G/TBT/N/TZA/1483, G/TBT/N/UGA/2301</v>
      </c>
      <c r="D1297" s="8" t="s">
        <v>5074</v>
      </c>
      <c r="E1297" s="8" t="s">
        <v>5075</v>
      </c>
      <c r="F1297" s="8" t="s">
        <v>5076</v>
      </c>
      <c r="G1297" s="8" t="s">
        <v>5077</v>
      </c>
      <c r="H1297" s="8" t="s">
        <v>4990</v>
      </c>
      <c r="I1297" s="8" t="s">
        <v>4991</v>
      </c>
      <c r="J1297" s="8" t="s">
        <v>43</v>
      </c>
      <c r="K1297" s="8" t="s">
        <v>43</v>
      </c>
      <c r="L1297" s="6"/>
      <c r="M1297" s="7">
        <v>46089</v>
      </c>
      <c r="N1297" s="7" t="s">
        <v>79</v>
      </c>
      <c r="O1297" s="7" t="s">
        <v>79</v>
      </c>
      <c r="P1297" s="6" t="s">
        <v>62</v>
      </c>
      <c r="Q1297" s="8" t="s">
        <v>5078</v>
      </c>
      <c r="R1297" t="str">
        <f>HYPERLINK("https://docs.wto.org/imrd/directdoc.asp?DDFDocuments/t/G/TBTN26/BDI703.docx", "https://docs.wto.org/imrd/directdoc.asp?DDFDocuments/t/G/TBTN26/BDI703.docx")</f>
        <v>https://docs.wto.org/imrd/directdoc.asp?DDFDocuments/t/G/TBTN26/BDI703.docx</v>
      </c>
      <c r="S1297" t="str">
        <f>HYPERLINK("https://docs.wto.org/imrd/directdoc.asp?DDFDocuments/u/G/TBTN26/BDI703.docx", "https://docs.wto.org/imrd/directdoc.asp?DDFDocuments/u/G/TBTN26/BDI703.docx")</f>
        <v>https://docs.wto.org/imrd/directdoc.asp?DDFDocuments/u/G/TBTN26/BDI703.docx</v>
      </c>
      <c r="T1297" t="str">
        <f>HYPERLINK("https://docs.wto.org/imrd/directdoc.asp?DDFDocuments/v/G/TBTN26/BDI703.docx", "https://docs.wto.org/imrd/directdoc.asp?DDFDocuments/v/G/TBTN26/BDI703.docx")</f>
        <v>https://docs.wto.org/imrd/directdoc.asp?DDFDocuments/v/G/TBTN26/BDI703.docx</v>
      </c>
      <c r="U1297" t="s">
        <v>64</v>
      </c>
      <c r="V1297" t="s">
        <v>46</v>
      </c>
      <c r="W1297" t="s">
        <v>64</v>
      </c>
      <c r="X1297" t="s">
        <v>46</v>
      </c>
      <c r="Y1297" t="s">
        <v>46</v>
      </c>
      <c r="Z1297" t="s">
        <v>46</v>
      </c>
      <c r="AA1297" t="s">
        <v>46</v>
      </c>
      <c r="AB1297" s="2" t="s">
        <v>5079</v>
      </c>
      <c r="AC1297" t="s">
        <v>43</v>
      </c>
      <c r="AD1297" t="s">
        <v>43</v>
      </c>
      <c r="AE1297" t="s">
        <v>43</v>
      </c>
      <c r="AF1297" t="s">
        <v>43</v>
      </c>
      <c r="AG1297" t="s">
        <v>43</v>
      </c>
      <c r="AH1297" s="2" t="s">
        <v>43</v>
      </c>
    </row>
    <row r="1298" spans="1:34" ht="45">
      <c r="A1298" s="6" t="s">
        <v>577</v>
      </c>
      <c r="B1298" s="7">
        <v>46029</v>
      </c>
      <c r="C1298" s="9" t="str">
        <f>HYPERLINK("https://eping.wto.org/en/Search?viewData= G/TBT/N/BDI/702, G/TBT/N/KEN/1966, G/TBT/N/RWA/1332, G/TBT/N/TZA/1482, G/TBT/N/UGA/2300"," G/TBT/N/BDI/702, G/TBT/N/KEN/1966, G/TBT/N/RWA/1332, G/TBT/N/TZA/1482, G/TBT/N/UGA/2300")</f>
        <v xml:space="preserve"> G/TBT/N/BDI/702, G/TBT/N/KEN/1966, G/TBT/N/RWA/1332, G/TBT/N/TZA/1482, G/TBT/N/UGA/2300</v>
      </c>
      <c r="D1298" s="8" t="s">
        <v>4986</v>
      </c>
      <c r="E1298" s="8" t="s">
        <v>4987</v>
      </c>
      <c r="F1298" s="8" t="s">
        <v>4988</v>
      </c>
      <c r="G1298" s="8" t="s">
        <v>4989</v>
      </c>
      <c r="H1298" s="8" t="s">
        <v>4990</v>
      </c>
      <c r="I1298" s="8" t="s">
        <v>4991</v>
      </c>
      <c r="J1298" s="8" t="s">
        <v>43</v>
      </c>
      <c r="K1298" s="8" t="s">
        <v>43</v>
      </c>
      <c r="L1298" s="6"/>
      <c r="M1298" s="7">
        <v>46089</v>
      </c>
      <c r="N1298" s="7" t="s">
        <v>79</v>
      </c>
      <c r="O1298" s="7" t="s">
        <v>79</v>
      </c>
      <c r="P1298" s="6" t="s">
        <v>62</v>
      </c>
      <c r="Q1298" s="8" t="s">
        <v>4992</v>
      </c>
      <c r="R1298" t="str">
        <f>HYPERLINK("https://docs.wto.org/imrd/directdoc.asp?DDFDocuments/t/G/TBTN26/BDI702.docx", "https://docs.wto.org/imrd/directdoc.asp?DDFDocuments/t/G/TBTN26/BDI702.docx")</f>
        <v>https://docs.wto.org/imrd/directdoc.asp?DDFDocuments/t/G/TBTN26/BDI702.docx</v>
      </c>
      <c r="S1298" t="str">
        <f>HYPERLINK("https://docs.wto.org/imrd/directdoc.asp?DDFDocuments/u/G/TBTN26/BDI702.docx", "https://docs.wto.org/imrd/directdoc.asp?DDFDocuments/u/G/TBTN26/BDI702.docx")</f>
        <v>https://docs.wto.org/imrd/directdoc.asp?DDFDocuments/u/G/TBTN26/BDI702.docx</v>
      </c>
      <c r="T1298" t="str">
        <f>HYPERLINK("https://docs.wto.org/imrd/directdoc.asp?DDFDocuments/v/G/TBTN26/BDI702.docx", "https://docs.wto.org/imrd/directdoc.asp?DDFDocuments/v/G/TBTN26/BDI702.docx")</f>
        <v>https://docs.wto.org/imrd/directdoc.asp?DDFDocuments/v/G/TBTN26/BDI702.docx</v>
      </c>
      <c r="U1298" t="s">
        <v>64</v>
      </c>
      <c r="V1298" t="s">
        <v>46</v>
      </c>
      <c r="W1298" t="s">
        <v>64</v>
      </c>
      <c r="X1298" t="s">
        <v>46</v>
      </c>
      <c r="Y1298" t="s">
        <v>46</v>
      </c>
      <c r="Z1298" t="s">
        <v>46</v>
      </c>
      <c r="AA1298" t="s">
        <v>46</v>
      </c>
      <c r="AB1298" s="2" t="s">
        <v>4993</v>
      </c>
      <c r="AC1298" t="s">
        <v>43</v>
      </c>
      <c r="AD1298" t="s">
        <v>43</v>
      </c>
      <c r="AE1298" t="s">
        <v>43</v>
      </c>
      <c r="AF1298" t="s">
        <v>43</v>
      </c>
      <c r="AG1298" t="s">
        <v>43</v>
      </c>
      <c r="AH1298" s="2" t="s">
        <v>43</v>
      </c>
    </row>
    <row r="1299" spans="1:34" ht="45">
      <c r="A1299" s="6" t="s">
        <v>124</v>
      </c>
      <c r="B1299" s="7">
        <v>46029</v>
      </c>
      <c r="C1299" s="9" t="str">
        <f>HYPERLINK("https://eping.wto.org/en/Search?viewData= G/TBT/N/BDI/702, G/TBT/N/KEN/1966, G/TBT/N/RWA/1332, G/TBT/N/TZA/1482, G/TBT/N/UGA/2300"," G/TBT/N/BDI/702, G/TBT/N/KEN/1966, G/TBT/N/RWA/1332, G/TBT/N/TZA/1482, G/TBT/N/UGA/2300")</f>
        <v xml:space="preserve"> G/TBT/N/BDI/702, G/TBT/N/KEN/1966, G/TBT/N/RWA/1332, G/TBT/N/TZA/1482, G/TBT/N/UGA/2300</v>
      </c>
      <c r="D1299" s="8" t="s">
        <v>4986</v>
      </c>
      <c r="E1299" s="8" t="s">
        <v>4987</v>
      </c>
      <c r="F1299" s="8" t="s">
        <v>4988</v>
      </c>
      <c r="G1299" s="8" t="s">
        <v>4989</v>
      </c>
      <c r="H1299" s="8" t="s">
        <v>4990</v>
      </c>
      <c r="I1299" s="8" t="s">
        <v>4991</v>
      </c>
      <c r="J1299" s="8" t="s">
        <v>43</v>
      </c>
      <c r="K1299" s="8" t="s">
        <v>43</v>
      </c>
      <c r="L1299" s="6"/>
      <c r="M1299" s="7">
        <v>46089</v>
      </c>
      <c r="N1299" s="7" t="s">
        <v>79</v>
      </c>
      <c r="O1299" s="7" t="s">
        <v>79</v>
      </c>
      <c r="P1299" s="6" t="s">
        <v>62</v>
      </c>
      <c r="Q1299" s="8" t="s">
        <v>4992</v>
      </c>
      <c r="R1299" t="str">
        <f>HYPERLINK("https://docs.wto.org/imrd/directdoc.asp?DDFDocuments/t/G/TBTN26/BDI702.docx", "https://docs.wto.org/imrd/directdoc.asp?DDFDocuments/t/G/TBTN26/BDI702.docx")</f>
        <v>https://docs.wto.org/imrd/directdoc.asp?DDFDocuments/t/G/TBTN26/BDI702.docx</v>
      </c>
      <c r="S1299" t="str">
        <f>HYPERLINK("https://docs.wto.org/imrd/directdoc.asp?DDFDocuments/u/G/TBTN26/BDI702.docx", "https://docs.wto.org/imrd/directdoc.asp?DDFDocuments/u/G/TBTN26/BDI702.docx")</f>
        <v>https://docs.wto.org/imrd/directdoc.asp?DDFDocuments/u/G/TBTN26/BDI702.docx</v>
      </c>
      <c r="T1299" t="str">
        <f>HYPERLINK("https://docs.wto.org/imrd/directdoc.asp?DDFDocuments/v/G/TBTN26/BDI702.docx", "https://docs.wto.org/imrd/directdoc.asp?DDFDocuments/v/G/TBTN26/BDI702.docx")</f>
        <v>https://docs.wto.org/imrd/directdoc.asp?DDFDocuments/v/G/TBTN26/BDI702.docx</v>
      </c>
      <c r="U1299" t="s">
        <v>64</v>
      </c>
      <c r="V1299" t="s">
        <v>46</v>
      </c>
      <c r="W1299" t="s">
        <v>64</v>
      </c>
      <c r="X1299" t="s">
        <v>46</v>
      </c>
      <c r="Y1299" t="s">
        <v>46</v>
      </c>
      <c r="Z1299" t="s">
        <v>46</v>
      </c>
      <c r="AA1299" t="s">
        <v>46</v>
      </c>
      <c r="AB1299" s="2" t="s">
        <v>4993</v>
      </c>
      <c r="AC1299" t="s">
        <v>43</v>
      </c>
      <c r="AD1299" t="s">
        <v>43</v>
      </c>
      <c r="AE1299" t="s">
        <v>43</v>
      </c>
      <c r="AF1299" t="s">
        <v>43</v>
      </c>
      <c r="AG1299" t="s">
        <v>43</v>
      </c>
      <c r="AH1299" s="2" t="s">
        <v>43</v>
      </c>
    </row>
    <row r="1300" spans="1:34" ht="30">
      <c r="A1300" s="6" t="s">
        <v>325</v>
      </c>
      <c r="B1300" s="7">
        <v>46029</v>
      </c>
      <c r="C1300" s="9" t="str">
        <f>HYPERLINK("https://eping.wto.org/en/Search?viewData= G/SPS/N/TPKM/654"," G/SPS/N/TPKM/654")</f>
        <v xml:space="preserve"> G/SPS/N/TPKM/654</v>
      </c>
      <c r="D1300" s="8" t="s">
        <v>5080</v>
      </c>
      <c r="E1300" s="8" t="s">
        <v>4931</v>
      </c>
      <c r="F1300" s="8" t="s">
        <v>5081</v>
      </c>
      <c r="G1300" s="8" t="s">
        <v>5082</v>
      </c>
      <c r="H1300" s="8" t="s">
        <v>43</v>
      </c>
      <c r="I1300" s="8" t="s">
        <v>58</v>
      </c>
      <c r="J1300" s="8" t="s">
        <v>43</v>
      </c>
      <c r="K1300" s="8" t="s">
        <v>5083</v>
      </c>
      <c r="L1300" s="6" t="s">
        <v>43</v>
      </c>
      <c r="M1300" s="7">
        <v>46089</v>
      </c>
      <c r="N1300" s="7" t="s">
        <v>79</v>
      </c>
      <c r="O1300" s="7" t="s">
        <v>79</v>
      </c>
      <c r="P1300" s="6" t="s">
        <v>62</v>
      </c>
      <c r="Q1300" s="8" t="s">
        <v>5084</v>
      </c>
      <c r="R1300" t="str">
        <f>HYPERLINK("https://docs.wto.org/imrd/directdoc.asp?DDFDocuments/t/G/SPS/NTPKM654.docx", "https://docs.wto.org/imrd/directdoc.asp?DDFDocuments/t/G/SPS/NTPKM654.docx")</f>
        <v>https://docs.wto.org/imrd/directdoc.asp?DDFDocuments/t/G/SPS/NTPKM654.docx</v>
      </c>
      <c r="S1300" t="str">
        <f>HYPERLINK("https://docs.wto.org/imrd/directdoc.asp?DDFDocuments/u/G/SPS/NTPKM654.docx", "https://docs.wto.org/imrd/directdoc.asp?DDFDocuments/u/G/SPS/NTPKM654.docx")</f>
        <v>https://docs.wto.org/imrd/directdoc.asp?DDFDocuments/u/G/SPS/NTPKM654.docx</v>
      </c>
      <c r="T1300" t="str">
        <f>HYPERLINK("https://docs.wto.org/imrd/directdoc.asp?DDFDocuments/v/G/SPS/NTPKM654.docx", "https://docs.wto.org/imrd/directdoc.asp?DDFDocuments/v/G/SPS/NTPKM654.docx")</f>
        <v>https://docs.wto.org/imrd/directdoc.asp?DDFDocuments/v/G/SPS/NTPKM654.docx</v>
      </c>
      <c r="U1300" t="s">
        <v>43</v>
      </c>
      <c r="V1300" t="s">
        <v>43</v>
      </c>
      <c r="W1300" t="s">
        <v>43</v>
      </c>
      <c r="X1300" t="s">
        <v>43</v>
      </c>
      <c r="Y1300" t="s">
        <v>43</v>
      </c>
      <c r="Z1300" t="s">
        <v>43</v>
      </c>
      <c r="AA1300" t="s">
        <v>43</v>
      </c>
      <c r="AB1300" s="2" t="s">
        <v>43</v>
      </c>
      <c r="AC1300" t="s">
        <v>46</v>
      </c>
      <c r="AD1300" t="s">
        <v>46</v>
      </c>
      <c r="AE1300" t="s">
        <v>46</v>
      </c>
      <c r="AF1300" t="s">
        <v>64</v>
      </c>
      <c r="AG1300" t="s">
        <v>99</v>
      </c>
      <c r="AH1300" s="2" t="s">
        <v>43</v>
      </c>
    </row>
    <row r="1301" spans="1:34" ht="75">
      <c r="A1301" s="6" t="s">
        <v>185</v>
      </c>
      <c r="B1301" s="7">
        <v>46029</v>
      </c>
      <c r="C1301" s="9" t="str">
        <f>HYPERLINK("https://eping.wto.org/en/Search?viewData= G/TBT/N/CHN/2173"," G/TBT/N/CHN/2173")</f>
        <v xml:space="preserve"> G/TBT/N/CHN/2173</v>
      </c>
      <c r="D1301" s="8" t="s">
        <v>5085</v>
      </c>
      <c r="E1301" s="8" t="s">
        <v>5086</v>
      </c>
      <c r="F1301" s="8" t="s">
        <v>5087</v>
      </c>
      <c r="G1301" s="8" t="s">
        <v>5088</v>
      </c>
      <c r="H1301" s="8" t="s">
        <v>5089</v>
      </c>
      <c r="I1301" s="8" t="s">
        <v>275</v>
      </c>
      <c r="J1301" s="8" t="s">
        <v>43</v>
      </c>
      <c r="K1301" s="8" t="s">
        <v>43</v>
      </c>
      <c r="L1301" s="6"/>
      <c r="M1301" s="7" t="s">
        <v>43</v>
      </c>
      <c r="N1301" s="7" t="s">
        <v>79</v>
      </c>
      <c r="O1301" s="7" t="s">
        <v>192</v>
      </c>
      <c r="P1301" s="6" t="s">
        <v>62</v>
      </c>
      <c r="Q1301" s="8" t="s">
        <v>5090</v>
      </c>
      <c r="R1301" t="str">
        <f>HYPERLINK("https://docs.wto.org/imrd/directdoc.asp?DDFDocuments/t/G/TBTN26/CHN2173.docx", "https://docs.wto.org/imrd/directdoc.asp?DDFDocuments/t/G/TBTN26/CHN2173.docx")</f>
        <v>https://docs.wto.org/imrd/directdoc.asp?DDFDocuments/t/G/TBTN26/CHN2173.docx</v>
      </c>
      <c r="S1301" t="str">
        <f>HYPERLINK("https://docs.wto.org/imrd/directdoc.asp?DDFDocuments/u/G/TBTN26/CHN2173.docx", "https://docs.wto.org/imrd/directdoc.asp?DDFDocuments/u/G/TBTN26/CHN2173.docx")</f>
        <v>https://docs.wto.org/imrd/directdoc.asp?DDFDocuments/u/G/TBTN26/CHN2173.docx</v>
      </c>
      <c r="T1301" t="str">
        <f>HYPERLINK("https://docs.wto.org/imrd/directdoc.asp?DDFDocuments/v/G/TBTN26/CHN2173.docx", "https://docs.wto.org/imrd/directdoc.asp?DDFDocuments/v/G/TBTN26/CHN2173.docx")</f>
        <v>https://docs.wto.org/imrd/directdoc.asp?DDFDocuments/v/G/TBTN26/CHN2173.docx</v>
      </c>
      <c r="U1301" t="s">
        <v>46</v>
      </c>
      <c r="V1301" t="s">
        <v>46</v>
      </c>
      <c r="W1301" t="s">
        <v>46</v>
      </c>
      <c r="X1301" t="s">
        <v>64</v>
      </c>
      <c r="Y1301" t="s">
        <v>46</v>
      </c>
      <c r="Z1301" t="s">
        <v>46</v>
      </c>
      <c r="AA1301" t="s">
        <v>46</v>
      </c>
      <c r="AB1301" s="2" t="s">
        <v>43</v>
      </c>
      <c r="AC1301" t="s">
        <v>43</v>
      </c>
      <c r="AD1301" t="s">
        <v>43</v>
      </c>
      <c r="AE1301" t="s">
        <v>43</v>
      </c>
      <c r="AF1301" t="s">
        <v>43</v>
      </c>
      <c r="AG1301" t="s">
        <v>43</v>
      </c>
      <c r="AH1301" s="2" t="s">
        <v>43</v>
      </c>
    </row>
    <row r="1302" spans="1:34" ht="90">
      <c r="A1302" s="6" t="s">
        <v>185</v>
      </c>
      <c r="B1302" s="7">
        <v>46029</v>
      </c>
      <c r="C1302" s="9" t="str">
        <f>HYPERLINK("https://eping.wto.org/en/Search?viewData= G/TBT/N/CHN/2174"," G/TBT/N/CHN/2174")</f>
        <v xml:space="preserve"> G/TBT/N/CHN/2174</v>
      </c>
      <c r="D1302" s="8" t="s">
        <v>5091</v>
      </c>
      <c r="E1302" s="8" t="s">
        <v>5092</v>
      </c>
      <c r="F1302" s="8" t="s">
        <v>5093</v>
      </c>
      <c r="G1302" s="8" t="s">
        <v>5094</v>
      </c>
      <c r="H1302" s="8" t="s">
        <v>5095</v>
      </c>
      <c r="I1302" s="8" t="s">
        <v>275</v>
      </c>
      <c r="J1302" s="8" t="s">
        <v>43</v>
      </c>
      <c r="K1302" s="8" t="s">
        <v>43</v>
      </c>
      <c r="L1302" s="6"/>
      <c r="M1302" s="7" t="s">
        <v>43</v>
      </c>
      <c r="N1302" s="7" t="s">
        <v>79</v>
      </c>
      <c r="O1302" s="7" t="s">
        <v>192</v>
      </c>
      <c r="P1302" s="6" t="s">
        <v>62</v>
      </c>
      <c r="Q1302" s="8" t="s">
        <v>5096</v>
      </c>
      <c r="R1302" t="str">
        <f>HYPERLINK("https://docs.wto.org/imrd/directdoc.asp?DDFDocuments/t/G/TBTN26/CHN2174.docx", "https://docs.wto.org/imrd/directdoc.asp?DDFDocuments/t/G/TBTN26/CHN2174.docx")</f>
        <v>https://docs.wto.org/imrd/directdoc.asp?DDFDocuments/t/G/TBTN26/CHN2174.docx</v>
      </c>
      <c r="S1302" t="str">
        <f>HYPERLINK("https://docs.wto.org/imrd/directdoc.asp?DDFDocuments/u/G/TBTN26/CHN2174.docx", "https://docs.wto.org/imrd/directdoc.asp?DDFDocuments/u/G/TBTN26/CHN2174.docx")</f>
        <v>https://docs.wto.org/imrd/directdoc.asp?DDFDocuments/u/G/TBTN26/CHN2174.docx</v>
      </c>
      <c r="T1302" t="str">
        <f>HYPERLINK("https://docs.wto.org/imrd/directdoc.asp?DDFDocuments/v/G/TBTN26/CHN2174.docx", "https://docs.wto.org/imrd/directdoc.asp?DDFDocuments/v/G/TBTN26/CHN2174.docx")</f>
        <v>https://docs.wto.org/imrd/directdoc.asp?DDFDocuments/v/G/TBTN26/CHN2174.docx</v>
      </c>
      <c r="U1302" t="s">
        <v>46</v>
      </c>
      <c r="V1302" t="s">
        <v>46</v>
      </c>
      <c r="W1302" t="s">
        <v>46</v>
      </c>
      <c r="X1302" t="s">
        <v>64</v>
      </c>
      <c r="Y1302" t="s">
        <v>46</v>
      </c>
      <c r="Z1302" t="s">
        <v>46</v>
      </c>
      <c r="AA1302" t="s">
        <v>46</v>
      </c>
      <c r="AB1302" s="2" t="s">
        <v>43</v>
      </c>
      <c r="AC1302" t="s">
        <v>43</v>
      </c>
      <c r="AD1302" t="s">
        <v>43</v>
      </c>
      <c r="AE1302" t="s">
        <v>43</v>
      </c>
      <c r="AF1302" t="s">
        <v>43</v>
      </c>
      <c r="AG1302" t="s">
        <v>43</v>
      </c>
      <c r="AH1302" s="2" t="s">
        <v>43</v>
      </c>
    </row>
    <row r="1303" spans="1:34" ht="105">
      <c r="A1303" s="6" t="s">
        <v>185</v>
      </c>
      <c r="B1303" s="7">
        <v>46029</v>
      </c>
      <c r="C1303" s="9" t="str">
        <f>HYPERLINK("https://eping.wto.org/en/Search?viewData= G/TBT/N/CHN/2175"," G/TBT/N/CHN/2175")</f>
        <v xml:space="preserve"> G/TBT/N/CHN/2175</v>
      </c>
      <c r="D1303" s="8" t="s">
        <v>5097</v>
      </c>
      <c r="E1303" s="8" t="s">
        <v>5098</v>
      </c>
      <c r="F1303" s="8" t="s">
        <v>5099</v>
      </c>
      <c r="G1303" s="8" t="s">
        <v>5100</v>
      </c>
      <c r="H1303" s="8" t="s">
        <v>5101</v>
      </c>
      <c r="I1303" s="8" t="s">
        <v>275</v>
      </c>
      <c r="J1303" s="8" t="s">
        <v>43</v>
      </c>
      <c r="K1303" s="8" t="s">
        <v>43</v>
      </c>
      <c r="L1303" s="6"/>
      <c r="M1303" s="7" t="s">
        <v>43</v>
      </c>
      <c r="N1303" s="7" t="s">
        <v>79</v>
      </c>
      <c r="O1303" s="7" t="s">
        <v>192</v>
      </c>
      <c r="P1303" s="6" t="s">
        <v>62</v>
      </c>
      <c r="Q1303" s="8" t="s">
        <v>5102</v>
      </c>
      <c r="R1303" t="str">
        <f>HYPERLINK("https://docs.wto.org/imrd/directdoc.asp?DDFDocuments/t/G/TBTN26/CHN2175.docx", "https://docs.wto.org/imrd/directdoc.asp?DDFDocuments/t/G/TBTN26/CHN2175.docx")</f>
        <v>https://docs.wto.org/imrd/directdoc.asp?DDFDocuments/t/G/TBTN26/CHN2175.docx</v>
      </c>
      <c r="S1303" t="str">
        <f>HYPERLINK("https://docs.wto.org/imrd/directdoc.asp?DDFDocuments/u/G/TBTN26/CHN2175.docx", "https://docs.wto.org/imrd/directdoc.asp?DDFDocuments/u/G/TBTN26/CHN2175.docx")</f>
        <v>https://docs.wto.org/imrd/directdoc.asp?DDFDocuments/u/G/TBTN26/CHN2175.docx</v>
      </c>
      <c r="T1303" t="str">
        <f>HYPERLINK("https://docs.wto.org/imrd/directdoc.asp?DDFDocuments/v/G/TBTN26/CHN2175.docx", "https://docs.wto.org/imrd/directdoc.asp?DDFDocuments/v/G/TBTN26/CHN2175.docx")</f>
        <v>https://docs.wto.org/imrd/directdoc.asp?DDFDocuments/v/G/TBTN26/CHN2175.docx</v>
      </c>
      <c r="U1303" t="s">
        <v>46</v>
      </c>
      <c r="V1303" t="s">
        <v>46</v>
      </c>
      <c r="W1303" t="s">
        <v>46</v>
      </c>
      <c r="X1303" t="s">
        <v>64</v>
      </c>
      <c r="Y1303" t="s">
        <v>46</v>
      </c>
      <c r="Z1303" t="s">
        <v>46</v>
      </c>
      <c r="AA1303" t="s">
        <v>46</v>
      </c>
      <c r="AB1303" s="2" t="s">
        <v>43</v>
      </c>
      <c r="AC1303" t="s">
        <v>43</v>
      </c>
      <c r="AD1303" t="s">
        <v>43</v>
      </c>
      <c r="AE1303" t="s">
        <v>43</v>
      </c>
      <c r="AF1303" t="s">
        <v>43</v>
      </c>
      <c r="AG1303" t="s">
        <v>43</v>
      </c>
      <c r="AH1303" s="2" t="s">
        <v>43</v>
      </c>
    </row>
    <row r="1304" spans="1:34" ht="90">
      <c r="A1304" s="6" t="s">
        <v>892</v>
      </c>
      <c r="B1304" s="7">
        <v>46029</v>
      </c>
      <c r="C1304" s="9" t="str">
        <f>HYPERLINK("https://eping.wto.org/en/Search?viewData= G/SPS/N/PAN/97"," G/SPS/N/PAN/97")</f>
        <v xml:space="preserve"> G/SPS/N/PAN/97</v>
      </c>
      <c r="D1304" s="8" t="s">
        <v>5103</v>
      </c>
      <c r="E1304" s="8" t="s">
        <v>5104</v>
      </c>
      <c r="F1304" s="8" t="s">
        <v>5105</v>
      </c>
      <c r="G1304" s="8" t="s">
        <v>354</v>
      </c>
      <c r="H1304" s="8" t="s">
        <v>5106</v>
      </c>
      <c r="I1304" s="8" t="s">
        <v>1090</v>
      </c>
      <c r="J1304" s="8" t="s">
        <v>43</v>
      </c>
      <c r="K1304" s="8" t="s">
        <v>157</v>
      </c>
      <c r="L1304" s="6" t="s">
        <v>43</v>
      </c>
      <c r="M1304" s="7">
        <v>46089</v>
      </c>
      <c r="N1304" s="7" t="s">
        <v>79</v>
      </c>
      <c r="O1304" s="7" t="s">
        <v>79</v>
      </c>
      <c r="P1304" s="6" t="s">
        <v>62</v>
      </c>
      <c r="Q1304" s="8" t="s">
        <v>5107</v>
      </c>
      <c r="R1304" t="str">
        <f>HYPERLINK("https://docs.wto.org/imrd/directdoc.asp?DDFDocuments/t/G/SPS/NPAN97.docx", "https://docs.wto.org/imrd/directdoc.asp?DDFDocuments/t/G/SPS/NPAN97.docx")</f>
        <v>https://docs.wto.org/imrd/directdoc.asp?DDFDocuments/t/G/SPS/NPAN97.docx</v>
      </c>
      <c r="S1304" t="str">
        <f>HYPERLINK("https://docs.wto.org/imrd/directdoc.asp?DDFDocuments/u/G/SPS/NPAN97.docx", "https://docs.wto.org/imrd/directdoc.asp?DDFDocuments/u/G/SPS/NPAN97.docx")</f>
        <v>https://docs.wto.org/imrd/directdoc.asp?DDFDocuments/u/G/SPS/NPAN97.docx</v>
      </c>
      <c r="T1304" t="str">
        <f>HYPERLINK("https://docs.wto.org/imrd/directdoc.asp?DDFDocuments/v/G/SPS/NPAN97.docx", "https://docs.wto.org/imrd/directdoc.asp?DDFDocuments/v/G/SPS/NPAN97.docx")</f>
        <v>https://docs.wto.org/imrd/directdoc.asp?DDFDocuments/v/G/SPS/NPAN97.docx</v>
      </c>
      <c r="U1304" t="s">
        <v>43</v>
      </c>
      <c r="V1304" t="s">
        <v>43</v>
      </c>
      <c r="W1304" t="s">
        <v>43</v>
      </c>
      <c r="X1304" t="s">
        <v>43</v>
      </c>
      <c r="Y1304" t="s">
        <v>43</v>
      </c>
      <c r="Z1304" t="s">
        <v>43</v>
      </c>
      <c r="AA1304" t="s">
        <v>43</v>
      </c>
      <c r="AB1304" s="2" t="s">
        <v>43</v>
      </c>
      <c r="AC1304" t="s">
        <v>64</v>
      </c>
      <c r="AD1304" t="s">
        <v>46</v>
      </c>
      <c r="AE1304" t="s">
        <v>46</v>
      </c>
      <c r="AF1304" t="s">
        <v>46</v>
      </c>
      <c r="AG1304" t="s">
        <v>64</v>
      </c>
      <c r="AH1304" s="2" t="s">
        <v>43</v>
      </c>
    </row>
    <row r="1305" spans="1:34" ht="75">
      <c r="A1305" s="6" t="s">
        <v>892</v>
      </c>
      <c r="B1305" s="7">
        <v>46029</v>
      </c>
      <c r="C1305" s="9" t="str">
        <f>HYPERLINK("https://eping.wto.org/en/Search?viewData= G/SPS/N/PAN/99"," G/SPS/N/PAN/99")</f>
        <v xml:space="preserve"> G/SPS/N/PAN/99</v>
      </c>
      <c r="D1305" s="8" t="s">
        <v>5108</v>
      </c>
      <c r="E1305" s="8" t="s">
        <v>5021</v>
      </c>
      <c r="F1305" s="8" t="s">
        <v>4876</v>
      </c>
      <c r="G1305" s="8" t="s">
        <v>5109</v>
      </c>
      <c r="H1305" s="8" t="s">
        <v>4877</v>
      </c>
      <c r="I1305" s="8" t="s">
        <v>1090</v>
      </c>
      <c r="J1305" s="8" t="s">
        <v>43</v>
      </c>
      <c r="K1305" s="8" t="s">
        <v>157</v>
      </c>
      <c r="L1305" s="6" t="s">
        <v>43</v>
      </c>
      <c r="M1305" s="7">
        <v>46089</v>
      </c>
      <c r="N1305" s="7" t="s">
        <v>79</v>
      </c>
      <c r="O1305" s="7" t="s">
        <v>79</v>
      </c>
      <c r="P1305" s="6" t="s">
        <v>62</v>
      </c>
      <c r="Q1305" s="8" t="s">
        <v>5110</v>
      </c>
      <c r="R1305" t="str">
        <f>HYPERLINK("https://docs.wto.org/imrd/directdoc.asp?DDFDocuments/t/G/SPS/NPAN99.docx", "https://docs.wto.org/imrd/directdoc.asp?DDFDocuments/t/G/SPS/NPAN99.docx")</f>
        <v>https://docs.wto.org/imrd/directdoc.asp?DDFDocuments/t/G/SPS/NPAN99.docx</v>
      </c>
      <c r="S1305" t="str">
        <f>HYPERLINK("https://docs.wto.org/imrd/directdoc.asp?DDFDocuments/u/G/SPS/NPAN99.docx", "https://docs.wto.org/imrd/directdoc.asp?DDFDocuments/u/G/SPS/NPAN99.docx")</f>
        <v>https://docs.wto.org/imrd/directdoc.asp?DDFDocuments/u/G/SPS/NPAN99.docx</v>
      </c>
      <c r="T1305" t="str">
        <f>HYPERLINK("https://docs.wto.org/imrd/directdoc.asp?DDFDocuments/v/G/SPS/NPAN99.docx", "https://docs.wto.org/imrd/directdoc.asp?DDFDocuments/v/G/SPS/NPAN99.docx")</f>
        <v>https://docs.wto.org/imrd/directdoc.asp?DDFDocuments/v/G/SPS/NPAN99.docx</v>
      </c>
      <c r="U1305" t="s">
        <v>43</v>
      </c>
      <c r="V1305" t="s">
        <v>43</v>
      </c>
      <c r="W1305" t="s">
        <v>43</v>
      </c>
      <c r="X1305" t="s">
        <v>43</v>
      </c>
      <c r="Y1305" t="s">
        <v>43</v>
      </c>
      <c r="Z1305" t="s">
        <v>43</v>
      </c>
      <c r="AA1305" t="s">
        <v>43</v>
      </c>
      <c r="AB1305" s="2" t="s">
        <v>43</v>
      </c>
      <c r="AC1305" t="s">
        <v>64</v>
      </c>
      <c r="AD1305" t="s">
        <v>46</v>
      </c>
      <c r="AE1305" t="s">
        <v>46</v>
      </c>
      <c r="AF1305" t="s">
        <v>46</v>
      </c>
      <c r="AG1305" t="s">
        <v>64</v>
      </c>
      <c r="AH1305" s="2" t="s">
        <v>43</v>
      </c>
    </row>
    <row r="1306" spans="1:34">
      <c r="A1306" s="6" t="s">
        <v>74</v>
      </c>
      <c r="B1306" s="7">
        <v>46029</v>
      </c>
      <c r="C1306" s="9" t="str">
        <f>HYPERLINK("https://eping.wto.org/en/Search?viewData= G/SPS/N/IND/343"," G/SPS/N/IND/343")</f>
        <v xml:space="preserve"> G/SPS/N/IND/343</v>
      </c>
      <c r="D1306" s="8" t="s">
        <v>5111</v>
      </c>
      <c r="E1306" s="8" t="s">
        <v>5112</v>
      </c>
      <c r="F1306" s="8" t="s">
        <v>5113</v>
      </c>
      <c r="G1306" s="8" t="s">
        <v>43</v>
      </c>
      <c r="H1306" s="8" t="s">
        <v>43</v>
      </c>
      <c r="I1306" s="8" t="s">
        <v>1721</v>
      </c>
      <c r="J1306" s="8" t="s">
        <v>43</v>
      </c>
      <c r="K1306" s="8" t="s">
        <v>749</v>
      </c>
      <c r="L1306" s="6" t="s">
        <v>43</v>
      </c>
      <c r="M1306" s="7">
        <v>46089</v>
      </c>
      <c r="N1306" s="7" t="s">
        <v>304</v>
      </c>
      <c r="O1306" s="7" t="s">
        <v>304</v>
      </c>
      <c r="P1306" s="6" t="s">
        <v>62</v>
      </c>
      <c r="Q1306" s="8" t="s">
        <v>5114</v>
      </c>
      <c r="R1306" t="str">
        <f>HYPERLINK("https://docs.wto.org/imrd/directdoc.asp?DDFDocuments/t/G/SPS/NIND343.docx", "https://docs.wto.org/imrd/directdoc.asp?DDFDocuments/t/G/SPS/NIND343.docx")</f>
        <v>https://docs.wto.org/imrd/directdoc.asp?DDFDocuments/t/G/SPS/NIND343.docx</v>
      </c>
      <c r="S1306" t="str">
        <f>HYPERLINK("https://docs.wto.org/imrd/directdoc.asp?DDFDocuments/u/G/SPS/NIND343.docx", "https://docs.wto.org/imrd/directdoc.asp?DDFDocuments/u/G/SPS/NIND343.docx")</f>
        <v>https://docs.wto.org/imrd/directdoc.asp?DDFDocuments/u/G/SPS/NIND343.docx</v>
      </c>
      <c r="T1306" t="str">
        <f>HYPERLINK("https://docs.wto.org/imrd/directdoc.asp?DDFDocuments/v/G/SPS/NIND343.docx", "https://docs.wto.org/imrd/directdoc.asp?DDFDocuments/v/G/SPS/NIND343.docx")</f>
        <v>https://docs.wto.org/imrd/directdoc.asp?DDFDocuments/v/G/SPS/NIND343.docx</v>
      </c>
      <c r="U1306" t="s">
        <v>43</v>
      </c>
      <c r="V1306" t="s">
        <v>43</v>
      </c>
      <c r="W1306" t="s">
        <v>43</v>
      </c>
      <c r="X1306" t="s">
        <v>43</v>
      </c>
      <c r="Y1306" t="s">
        <v>43</v>
      </c>
      <c r="Z1306" t="s">
        <v>43</v>
      </c>
      <c r="AA1306" t="s">
        <v>43</v>
      </c>
      <c r="AB1306" s="2" t="s">
        <v>43</v>
      </c>
      <c r="AC1306" t="s">
        <v>46</v>
      </c>
      <c r="AD1306" t="s">
        <v>64</v>
      </c>
      <c r="AE1306" t="s">
        <v>46</v>
      </c>
      <c r="AF1306" t="s">
        <v>46</v>
      </c>
      <c r="AG1306" t="s">
        <v>64</v>
      </c>
      <c r="AH1306" s="2" t="s">
        <v>43</v>
      </c>
    </row>
    <row r="1307" spans="1:34">
      <c r="A1307" s="6" t="s">
        <v>74</v>
      </c>
      <c r="B1307" s="7">
        <v>46029</v>
      </c>
      <c r="C1307" s="9" t="str">
        <f>HYPERLINK("https://eping.wto.org/en/Search?viewData= G/SPS/N/IND/345"," G/SPS/N/IND/345")</f>
        <v xml:space="preserve"> G/SPS/N/IND/345</v>
      </c>
      <c r="D1307" s="8" t="s">
        <v>5115</v>
      </c>
      <c r="E1307" s="8" t="s">
        <v>5116</v>
      </c>
      <c r="F1307" s="8" t="s">
        <v>5117</v>
      </c>
      <c r="G1307" s="8" t="s">
        <v>43</v>
      </c>
      <c r="H1307" s="8" t="s">
        <v>43</v>
      </c>
      <c r="I1307" s="8" t="s">
        <v>1721</v>
      </c>
      <c r="J1307" s="8" t="s">
        <v>43</v>
      </c>
      <c r="K1307" s="8" t="s">
        <v>43</v>
      </c>
      <c r="L1307" s="6" t="s">
        <v>43</v>
      </c>
      <c r="M1307" s="7">
        <v>46089</v>
      </c>
      <c r="N1307" s="7" t="s">
        <v>304</v>
      </c>
      <c r="O1307" s="7" t="s">
        <v>304</v>
      </c>
      <c r="P1307" s="6" t="s">
        <v>62</v>
      </c>
      <c r="Q1307" s="8" t="s">
        <v>5118</v>
      </c>
      <c r="R1307" t="str">
        <f>HYPERLINK("https://docs.wto.org/imrd/directdoc.asp?DDFDocuments/t/G/SPS/NIND345.docx", "https://docs.wto.org/imrd/directdoc.asp?DDFDocuments/t/G/SPS/NIND345.docx")</f>
        <v>https://docs.wto.org/imrd/directdoc.asp?DDFDocuments/t/G/SPS/NIND345.docx</v>
      </c>
      <c r="S1307" t="str">
        <f>HYPERLINK("https://docs.wto.org/imrd/directdoc.asp?DDFDocuments/u/G/SPS/NIND345.docx", "https://docs.wto.org/imrd/directdoc.asp?DDFDocuments/u/G/SPS/NIND345.docx")</f>
        <v>https://docs.wto.org/imrd/directdoc.asp?DDFDocuments/u/G/SPS/NIND345.docx</v>
      </c>
      <c r="T1307" t="str">
        <f>HYPERLINK("https://docs.wto.org/imrd/directdoc.asp?DDFDocuments/v/G/SPS/NIND345.docx", "https://docs.wto.org/imrd/directdoc.asp?DDFDocuments/v/G/SPS/NIND345.docx")</f>
        <v>https://docs.wto.org/imrd/directdoc.asp?DDFDocuments/v/G/SPS/NIND345.docx</v>
      </c>
      <c r="U1307" t="s">
        <v>43</v>
      </c>
      <c r="V1307" t="s">
        <v>43</v>
      </c>
      <c r="W1307" t="s">
        <v>43</v>
      </c>
      <c r="X1307" t="s">
        <v>43</v>
      </c>
      <c r="Y1307" t="s">
        <v>43</v>
      </c>
      <c r="Z1307" t="s">
        <v>43</v>
      </c>
      <c r="AA1307" t="s">
        <v>43</v>
      </c>
      <c r="AB1307" s="2" t="s">
        <v>43</v>
      </c>
      <c r="AC1307" t="s">
        <v>46</v>
      </c>
      <c r="AD1307" t="s">
        <v>64</v>
      </c>
      <c r="AE1307" t="s">
        <v>46</v>
      </c>
      <c r="AF1307" t="s">
        <v>46</v>
      </c>
      <c r="AG1307" t="s">
        <v>64</v>
      </c>
      <c r="AH1307" s="2" t="s">
        <v>43</v>
      </c>
    </row>
    <row r="1308" spans="1:34" ht="90">
      <c r="A1308" s="6" t="s">
        <v>96</v>
      </c>
      <c r="B1308" s="7">
        <v>46029</v>
      </c>
      <c r="C1308" s="9" t="str">
        <f>HYPERLINK("https://eping.wto.org/en/Search?viewData= G/TBT/N/ISR/1339/Add.1"," G/TBT/N/ISR/1339/Add.1")</f>
        <v xml:space="preserve"> G/TBT/N/ISR/1339/Add.1</v>
      </c>
      <c r="D1308" s="8" t="s">
        <v>5119</v>
      </c>
      <c r="E1308" s="8" t="s">
        <v>5120</v>
      </c>
      <c r="F1308" s="8" t="s">
        <v>4967</v>
      </c>
      <c r="G1308" s="8" t="s">
        <v>4968</v>
      </c>
      <c r="H1308" s="8" t="s">
        <v>4969</v>
      </c>
      <c r="I1308" s="8" t="s">
        <v>2921</v>
      </c>
      <c r="J1308" s="8" t="s">
        <v>43</v>
      </c>
      <c r="K1308" s="8" t="s">
        <v>43</v>
      </c>
      <c r="L1308" s="6"/>
      <c r="M1308" s="7" t="s">
        <v>43</v>
      </c>
      <c r="N1308" s="7"/>
      <c r="O1308" s="7"/>
      <c r="P1308" s="6" t="s">
        <v>44</v>
      </c>
      <c r="Q1308" s="8" t="s">
        <v>5121</v>
      </c>
      <c r="R1308" t="str">
        <f>HYPERLINK("https://docs.wto.org/imrd/directdoc.asp?DDFDocuments/t/G/TBTN24/ISR1339A1.docx", "https://docs.wto.org/imrd/directdoc.asp?DDFDocuments/t/G/TBTN24/ISR1339A1.docx")</f>
        <v>https://docs.wto.org/imrd/directdoc.asp?DDFDocuments/t/G/TBTN24/ISR1339A1.docx</v>
      </c>
      <c r="S1308" t="str">
        <f>HYPERLINK("https://docs.wto.org/imrd/directdoc.asp?DDFDocuments/u/G/TBTN24/ISR1339A1.docx", "https://docs.wto.org/imrd/directdoc.asp?DDFDocuments/u/G/TBTN24/ISR1339A1.docx")</f>
        <v>https://docs.wto.org/imrd/directdoc.asp?DDFDocuments/u/G/TBTN24/ISR1339A1.docx</v>
      </c>
      <c r="T1308" t="str">
        <f>HYPERLINK("https://docs.wto.org/imrd/directdoc.asp?DDFDocuments/v/G/TBTN24/ISR1339A1.docx", "https://docs.wto.org/imrd/directdoc.asp?DDFDocuments/v/G/TBTN24/ISR1339A1.docx")</f>
        <v>https://docs.wto.org/imrd/directdoc.asp?DDFDocuments/v/G/TBTN24/ISR1339A1.docx</v>
      </c>
      <c r="U1308" t="s">
        <v>64</v>
      </c>
      <c r="V1308" t="s">
        <v>46</v>
      </c>
      <c r="W1308" t="s">
        <v>46</v>
      </c>
      <c r="X1308" t="s">
        <v>46</v>
      </c>
      <c r="Y1308" t="s">
        <v>46</v>
      </c>
      <c r="Z1308" t="s">
        <v>46</v>
      </c>
      <c r="AA1308" t="s">
        <v>46</v>
      </c>
      <c r="AB1308" s="2" t="s">
        <v>43</v>
      </c>
      <c r="AC1308" t="s">
        <v>43</v>
      </c>
      <c r="AD1308" t="s">
        <v>43</v>
      </c>
      <c r="AE1308" t="s">
        <v>43</v>
      </c>
      <c r="AF1308" t="s">
        <v>43</v>
      </c>
      <c r="AG1308" t="s">
        <v>43</v>
      </c>
      <c r="AH1308" s="2" t="s">
        <v>43</v>
      </c>
    </row>
    <row r="1309" spans="1:34" ht="345">
      <c r="A1309" s="6" t="s">
        <v>904</v>
      </c>
      <c r="B1309" s="7">
        <v>46029</v>
      </c>
      <c r="C1309" s="9" t="str">
        <f>HYPERLINK("https://eping.wto.org/en/Search?viewData= G/TBT/N/MEX/552"," G/TBT/N/MEX/552")</f>
        <v xml:space="preserve"> G/TBT/N/MEX/552</v>
      </c>
      <c r="D1309" s="8" t="s">
        <v>5122</v>
      </c>
      <c r="E1309" s="8" t="s">
        <v>5123</v>
      </c>
      <c r="F1309" s="8" t="s">
        <v>5124</v>
      </c>
      <c r="G1309" s="8" t="s">
        <v>43</v>
      </c>
      <c r="H1309" s="8" t="s">
        <v>43</v>
      </c>
      <c r="I1309" s="8" t="s">
        <v>137</v>
      </c>
      <c r="J1309" s="8" t="s">
        <v>43</v>
      </c>
      <c r="K1309" s="8" t="s">
        <v>43</v>
      </c>
      <c r="L1309" s="6"/>
      <c r="M1309" s="7">
        <v>46089</v>
      </c>
      <c r="N1309" s="7" t="s">
        <v>79</v>
      </c>
      <c r="O1309" s="7" t="s">
        <v>79</v>
      </c>
      <c r="P1309" s="6" t="s">
        <v>62</v>
      </c>
      <c r="Q1309" s="8" t="s">
        <v>5125</v>
      </c>
      <c r="R1309" t="str">
        <f>HYPERLINK("https://docs.wto.org/imrd/directdoc.asp?DDFDocuments/t/G/TBTN26/MEX552.docx", "https://docs.wto.org/imrd/directdoc.asp?DDFDocuments/t/G/TBTN26/MEX552.docx")</f>
        <v>https://docs.wto.org/imrd/directdoc.asp?DDFDocuments/t/G/TBTN26/MEX552.docx</v>
      </c>
      <c r="S1309" t="str">
        <f>HYPERLINK("https://docs.wto.org/imrd/directdoc.asp?DDFDocuments/u/G/TBTN26/MEX552.docx", "https://docs.wto.org/imrd/directdoc.asp?DDFDocuments/u/G/TBTN26/MEX552.docx")</f>
        <v>https://docs.wto.org/imrd/directdoc.asp?DDFDocuments/u/G/TBTN26/MEX552.docx</v>
      </c>
      <c r="T1309" t="str">
        <f>HYPERLINK("https://docs.wto.org/imrd/directdoc.asp?DDFDocuments/v/G/TBTN26/MEX552.docx", "https://docs.wto.org/imrd/directdoc.asp?DDFDocuments/v/G/TBTN26/MEX552.docx")</f>
        <v>https://docs.wto.org/imrd/directdoc.asp?DDFDocuments/v/G/TBTN26/MEX552.docx</v>
      </c>
      <c r="U1309" t="s">
        <v>64</v>
      </c>
      <c r="V1309" t="s">
        <v>46</v>
      </c>
      <c r="W1309" t="s">
        <v>64</v>
      </c>
      <c r="X1309" t="s">
        <v>46</v>
      </c>
      <c r="Y1309" t="s">
        <v>46</v>
      </c>
      <c r="Z1309" t="s">
        <v>46</v>
      </c>
      <c r="AA1309" t="s">
        <v>46</v>
      </c>
      <c r="AB1309" s="2" t="s">
        <v>5126</v>
      </c>
      <c r="AC1309" t="s">
        <v>43</v>
      </c>
      <c r="AD1309" t="s">
        <v>43</v>
      </c>
      <c r="AE1309" t="s">
        <v>43</v>
      </c>
      <c r="AF1309" t="s">
        <v>43</v>
      </c>
      <c r="AG1309" t="s">
        <v>43</v>
      </c>
      <c r="AH1309" s="2" t="s">
        <v>43</v>
      </c>
    </row>
    <row r="1310" spans="1:34" ht="45">
      <c r="A1310" s="6" t="s">
        <v>1049</v>
      </c>
      <c r="B1310" s="7">
        <v>46029</v>
      </c>
      <c r="C1310" s="9" t="str">
        <f>HYPERLINK("https://eping.wto.org/en/Search?viewData= G/TBT/N/ARG/464"," G/TBT/N/ARG/464")</f>
        <v xml:space="preserve"> G/TBT/N/ARG/464</v>
      </c>
      <c r="D1310" s="8" t="s">
        <v>5127</v>
      </c>
      <c r="E1310" s="8" t="s">
        <v>5128</v>
      </c>
      <c r="F1310" s="8" t="s">
        <v>4973</v>
      </c>
      <c r="G1310" s="8" t="s">
        <v>43</v>
      </c>
      <c r="H1310" s="8" t="s">
        <v>43</v>
      </c>
      <c r="I1310" s="8" t="s">
        <v>1483</v>
      </c>
      <c r="J1310" s="8" t="s">
        <v>43</v>
      </c>
      <c r="K1310" s="8" t="s">
        <v>240</v>
      </c>
      <c r="L1310" s="6"/>
      <c r="M1310" s="7">
        <v>46089</v>
      </c>
      <c r="N1310" s="7" t="s">
        <v>79</v>
      </c>
      <c r="O1310" s="7" t="s">
        <v>79</v>
      </c>
      <c r="P1310" s="6" t="s">
        <v>62</v>
      </c>
      <c r="Q1310" s="8" t="s">
        <v>5129</v>
      </c>
      <c r="R1310" t="str">
        <f>HYPERLINK("https://docs.wto.org/imrd/directdoc.asp?DDFDocuments/t/G/TBTN26/ARG464.docx", "https://docs.wto.org/imrd/directdoc.asp?DDFDocuments/t/G/TBTN26/ARG464.docx")</f>
        <v>https://docs.wto.org/imrd/directdoc.asp?DDFDocuments/t/G/TBTN26/ARG464.docx</v>
      </c>
      <c r="S1310" t="str">
        <f>HYPERLINK("https://docs.wto.org/imrd/directdoc.asp?DDFDocuments/u/G/TBTN26/ARG464.docx", "https://docs.wto.org/imrd/directdoc.asp?DDFDocuments/u/G/TBTN26/ARG464.docx")</f>
        <v>https://docs.wto.org/imrd/directdoc.asp?DDFDocuments/u/G/TBTN26/ARG464.docx</v>
      </c>
      <c r="T1310" t="str">
        <f>HYPERLINK("https://docs.wto.org/imrd/directdoc.asp?DDFDocuments/v/G/TBTN26/ARG464.docx", "https://docs.wto.org/imrd/directdoc.asp?DDFDocuments/v/G/TBTN26/ARG464.docx")</f>
        <v>https://docs.wto.org/imrd/directdoc.asp?DDFDocuments/v/G/TBTN26/ARG464.docx</v>
      </c>
      <c r="U1310" t="s">
        <v>64</v>
      </c>
      <c r="V1310" t="s">
        <v>46</v>
      </c>
      <c r="W1310" t="s">
        <v>46</v>
      </c>
      <c r="X1310" t="s">
        <v>46</v>
      </c>
      <c r="Y1310" t="s">
        <v>46</v>
      </c>
      <c r="Z1310" t="s">
        <v>46</v>
      </c>
      <c r="AA1310" t="s">
        <v>46</v>
      </c>
      <c r="AB1310" s="2" t="s">
        <v>5130</v>
      </c>
      <c r="AC1310" t="s">
        <v>43</v>
      </c>
      <c r="AD1310" t="s">
        <v>43</v>
      </c>
      <c r="AE1310" t="s">
        <v>43</v>
      </c>
      <c r="AF1310" t="s">
        <v>43</v>
      </c>
      <c r="AG1310" t="s">
        <v>43</v>
      </c>
      <c r="AH1310" s="2" t="s">
        <v>43</v>
      </c>
    </row>
    <row r="1311" spans="1:34" ht="60">
      <c r="A1311" s="6" t="s">
        <v>47</v>
      </c>
      <c r="B1311" s="7">
        <v>46029</v>
      </c>
      <c r="C1311" s="9" t="str">
        <f>HYPERLINK("https://eping.wto.org/en/Search?viewData= G/TBT/N/CAN/750/Add.1"," G/TBT/N/CAN/750/Add.1")</f>
        <v xml:space="preserve"> G/TBT/N/CAN/750/Add.1</v>
      </c>
      <c r="D1311" s="8" t="s">
        <v>5131</v>
      </c>
      <c r="E1311" s="8" t="s">
        <v>5132</v>
      </c>
      <c r="F1311" s="8" t="s">
        <v>5133</v>
      </c>
      <c r="G1311" s="8" t="s">
        <v>43</v>
      </c>
      <c r="H1311" s="8" t="s">
        <v>86</v>
      </c>
      <c r="I1311" s="8" t="s">
        <v>52</v>
      </c>
      <c r="J1311" s="8" t="s">
        <v>53</v>
      </c>
      <c r="K1311" s="8" t="s">
        <v>43</v>
      </c>
      <c r="L1311" s="6"/>
      <c r="M1311" s="7" t="s">
        <v>43</v>
      </c>
      <c r="N1311" s="7"/>
      <c r="O1311" s="7"/>
      <c r="P1311" s="6" t="s">
        <v>44</v>
      </c>
      <c r="Q1311" s="6"/>
      <c r="R1311" t="str">
        <f>HYPERLINK("https://docs.wto.org/imrd/directdoc.asp?DDFDocuments/t/G/TBTN25/CAN750A1.docx", "https://docs.wto.org/imrd/directdoc.asp?DDFDocuments/t/G/TBTN25/CAN750A1.docx")</f>
        <v>https://docs.wto.org/imrd/directdoc.asp?DDFDocuments/t/G/TBTN25/CAN750A1.docx</v>
      </c>
      <c r="S1311" t="str">
        <f>HYPERLINK("https://docs.wto.org/imrd/directdoc.asp?DDFDocuments/u/G/TBTN25/CAN750A1.docx", "https://docs.wto.org/imrd/directdoc.asp?DDFDocuments/u/G/TBTN25/CAN750A1.docx")</f>
        <v>https://docs.wto.org/imrd/directdoc.asp?DDFDocuments/u/G/TBTN25/CAN750A1.docx</v>
      </c>
      <c r="T1311" t="str">
        <f>HYPERLINK("https://docs.wto.org/imrd/directdoc.asp?DDFDocuments/v/G/TBTN25/CAN750A1.docx", "https://docs.wto.org/imrd/directdoc.asp?DDFDocuments/v/G/TBTN25/CAN750A1.docx")</f>
        <v>https://docs.wto.org/imrd/directdoc.asp?DDFDocuments/v/G/TBTN25/CAN750A1.docx</v>
      </c>
      <c r="U1311" t="s">
        <v>46</v>
      </c>
      <c r="V1311" t="s">
        <v>46</v>
      </c>
      <c r="W1311" t="s">
        <v>46</v>
      </c>
      <c r="X1311" t="s">
        <v>46</v>
      </c>
      <c r="Y1311" t="s">
        <v>46</v>
      </c>
      <c r="Z1311" t="s">
        <v>46</v>
      </c>
      <c r="AA1311" t="s">
        <v>46</v>
      </c>
      <c r="AB1311" s="2" t="s">
        <v>43</v>
      </c>
      <c r="AC1311" t="s">
        <v>43</v>
      </c>
      <c r="AD1311" t="s">
        <v>43</v>
      </c>
      <c r="AE1311" t="s">
        <v>43</v>
      </c>
      <c r="AF1311" t="s">
        <v>43</v>
      </c>
      <c r="AG1311" t="s">
        <v>43</v>
      </c>
      <c r="AH1311" s="2" t="s">
        <v>43</v>
      </c>
    </row>
    <row r="1312" spans="1:34" ht="240">
      <c r="A1312" s="6" t="s">
        <v>892</v>
      </c>
      <c r="B1312" s="7">
        <v>46029</v>
      </c>
      <c r="C1312" s="9" t="str">
        <f>HYPERLINK("https://eping.wto.org/en/Search?viewData= G/TBT/N/PAN/150"," G/TBT/N/PAN/150")</f>
        <v xml:space="preserve"> G/TBT/N/PAN/150</v>
      </c>
      <c r="D1312" s="8" t="s">
        <v>5134</v>
      </c>
      <c r="E1312" s="8" t="s">
        <v>5135</v>
      </c>
      <c r="F1312" s="8" t="s">
        <v>1482</v>
      </c>
      <c r="G1312" s="8" t="s">
        <v>43</v>
      </c>
      <c r="H1312" s="8" t="s">
        <v>459</v>
      </c>
      <c r="I1312" s="8" t="s">
        <v>1483</v>
      </c>
      <c r="J1312" s="8" t="s">
        <v>43</v>
      </c>
      <c r="K1312" s="8" t="s">
        <v>240</v>
      </c>
      <c r="L1312" s="6"/>
      <c r="M1312" s="7">
        <v>46089</v>
      </c>
      <c r="N1312" s="7" t="s">
        <v>79</v>
      </c>
      <c r="O1312" s="7" t="s">
        <v>79</v>
      </c>
      <c r="P1312" s="6" t="s">
        <v>62</v>
      </c>
      <c r="Q1312" s="8" t="s">
        <v>5136</v>
      </c>
      <c r="R1312" t="str">
        <f>HYPERLINK("https://docs.wto.org/imrd/directdoc.asp?DDFDocuments/t/G/TBTN26/PAN150.docx", "https://docs.wto.org/imrd/directdoc.asp?DDFDocuments/t/G/TBTN26/PAN150.docx")</f>
        <v>https://docs.wto.org/imrd/directdoc.asp?DDFDocuments/t/G/TBTN26/PAN150.docx</v>
      </c>
      <c r="S1312" t="str">
        <f>HYPERLINK("https://docs.wto.org/imrd/directdoc.asp?DDFDocuments/u/G/TBTN26/PAN150.docx", "https://docs.wto.org/imrd/directdoc.asp?DDFDocuments/u/G/TBTN26/PAN150.docx")</f>
        <v>https://docs.wto.org/imrd/directdoc.asp?DDFDocuments/u/G/TBTN26/PAN150.docx</v>
      </c>
      <c r="T1312" t="str">
        <f>HYPERLINK("https://docs.wto.org/imrd/directdoc.asp?DDFDocuments/v/G/TBTN26/PAN150.docx", "https://docs.wto.org/imrd/directdoc.asp?DDFDocuments/v/G/TBTN26/PAN150.docx")</f>
        <v>https://docs.wto.org/imrd/directdoc.asp?DDFDocuments/v/G/TBTN26/PAN150.docx</v>
      </c>
      <c r="U1312" t="s">
        <v>64</v>
      </c>
      <c r="V1312" t="s">
        <v>46</v>
      </c>
      <c r="W1312" t="s">
        <v>46</v>
      </c>
      <c r="X1312" t="s">
        <v>46</v>
      </c>
      <c r="Y1312" t="s">
        <v>46</v>
      </c>
      <c r="Z1312" t="s">
        <v>46</v>
      </c>
      <c r="AA1312" t="s">
        <v>46</v>
      </c>
      <c r="AB1312" s="2" t="s">
        <v>5137</v>
      </c>
      <c r="AC1312" t="s">
        <v>43</v>
      </c>
      <c r="AD1312" t="s">
        <v>43</v>
      </c>
      <c r="AE1312" t="s">
        <v>43</v>
      </c>
      <c r="AF1312" t="s">
        <v>43</v>
      </c>
      <c r="AG1312" t="s">
        <v>43</v>
      </c>
      <c r="AH1312" s="2" t="s">
        <v>43</v>
      </c>
    </row>
    <row r="1313" spans="1:34" ht="90">
      <c r="A1313" s="6" t="s">
        <v>185</v>
      </c>
      <c r="B1313" s="7">
        <v>46029</v>
      </c>
      <c r="C1313" s="9" t="str">
        <f>HYPERLINK("https://eping.wto.org/en/Search?viewData= G/TBT/N/CHN/2177"," G/TBT/N/CHN/2177")</f>
        <v xml:space="preserve"> G/TBT/N/CHN/2177</v>
      </c>
      <c r="D1313" s="8" t="s">
        <v>5138</v>
      </c>
      <c r="E1313" s="8" t="s">
        <v>5139</v>
      </c>
      <c r="F1313" s="8" t="s">
        <v>5140</v>
      </c>
      <c r="G1313" s="8" t="s">
        <v>5141</v>
      </c>
      <c r="H1313" s="8" t="s">
        <v>5002</v>
      </c>
      <c r="I1313" s="8" t="s">
        <v>275</v>
      </c>
      <c r="J1313" s="8" t="s">
        <v>43</v>
      </c>
      <c r="K1313" s="8" t="s">
        <v>43</v>
      </c>
      <c r="L1313" s="6"/>
      <c r="M1313" s="7" t="s">
        <v>43</v>
      </c>
      <c r="N1313" s="7" t="s">
        <v>79</v>
      </c>
      <c r="O1313" s="7" t="s">
        <v>192</v>
      </c>
      <c r="P1313" s="6" t="s">
        <v>62</v>
      </c>
      <c r="Q1313" s="8" t="s">
        <v>5142</v>
      </c>
      <c r="R1313" t="str">
        <f>HYPERLINK("https://docs.wto.org/imrd/directdoc.asp?DDFDocuments/t/G/TBTN26/CHN2177.docx", "https://docs.wto.org/imrd/directdoc.asp?DDFDocuments/t/G/TBTN26/CHN2177.docx")</f>
        <v>https://docs.wto.org/imrd/directdoc.asp?DDFDocuments/t/G/TBTN26/CHN2177.docx</v>
      </c>
      <c r="S1313" t="str">
        <f>HYPERLINK("https://docs.wto.org/imrd/directdoc.asp?DDFDocuments/u/G/TBTN26/CHN2177.docx", "https://docs.wto.org/imrd/directdoc.asp?DDFDocuments/u/G/TBTN26/CHN2177.docx")</f>
        <v>https://docs.wto.org/imrd/directdoc.asp?DDFDocuments/u/G/TBTN26/CHN2177.docx</v>
      </c>
      <c r="T1313" t="str">
        <f>HYPERLINK("https://docs.wto.org/imrd/directdoc.asp?DDFDocuments/v/G/TBTN26/CHN2177.docx", "https://docs.wto.org/imrd/directdoc.asp?DDFDocuments/v/G/TBTN26/CHN2177.docx")</f>
        <v>https://docs.wto.org/imrd/directdoc.asp?DDFDocuments/v/G/TBTN26/CHN2177.docx</v>
      </c>
      <c r="U1313" t="s">
        <v>46</v>
      </c>
      <c r="V1313" t="s">
        <v>46</v>
      </c>
      <c r="W1313" t="s">
        <v>46</v>
      </c>
      <c r="X1313" t="s">
        <v>64</v>
      </c>
      <c r="Y1313" t="s">
        <v>46</v>
      </c>
      <c r="Z1313" t="s">
        <v>46</v>
      </c>
      <c r="AA1313" t="s">
        <v>46</v>
      </c>
      <c r="AB1313" s="2" t="s">
        <v>43</v>
      </c>
      <c r="AC1313" t="s">
        <v>43</v>
      </c>
      <c r="AD1313" t="s">
        <v>43</v>
      </c>
      <c r="AE1313" t="s">
        <v>43</v>
      </c>
      <c r="AF1313" t="s">
        <v>43</v>
      </c>
      <c r="AG1313" t="s">
        <v>43</v>
      </c>
      <c r="AH1313" s="2" t="s">
        <v>43</v>
      </c>
    </row>
    <row r="1314" spans="1:34" ht="90">
      <c r="A1314" s="6" t="s">
        <v>1649</v>
      </c>
      <c r="B1314" s="7">
        <v>46029</v>
      </c>
      <c r="C1314" s="9" t="str">
        <f>HYPERLINK("https://eping.wto.org/en/Search?viewData= G/TBT/N/VNM/389"," G/TBT/N/VNM/389")</f>
        <v xml:space="preserve"> G/TBT/N/VNM/389</v>
      </c>
      <c r="D1314" s="8" t="s">
        <v>5143</v>
      </c>
      <c r="E1314" s="8" t="s">
        <v>5144</v>
      </c>
      <c r="F1314" s="8" t="s">
        <v>5145</v>
      </c>
      <c r="G1314" s="8" t="s">
        <v>43</v>
      </c>
      <c r="H1314" s="8" t="s">
        <v>43</v>
      </c>
      <c r="I1314" s="8" t="s">
        <v>143</v>
      </c>
      <c r="J1314" s="8" t="s">
        <v>43</v>
      </c>
      <c r="K1314" s="8" t="s">
        <v>43</v>
      </c>
      <c r="L1314" s="6"/>
      <c r="M1314" s="7">
        <v>46089</v>
      </c>
      <c r="N1314" s="7">
        <v>46296</v>
      </c>
      <c r="O1314" s="7">
        <v>46508</v>
      </c>
      <c r="P1314" s="6" t="s">
        <v>62</v>
      </c>
      <c r="Q1314" s="8" t="s">
        <v>5146</v>
      </c>
      <c r="R1314" t="str">
        <f>HYPERLINK("https://docs.wto.org/imrd/directdoc.asp?DDFDocuments/t/G/TBTN26/VNM389.docx", "https://docs.wto.org/imrd/directdoc.asp?DDFDocuments/t/G/TBTN26/VNM389.docx")</f>
        <v>https://docs.wto.org/imrd/directdoc.asp?DDFDocuments/t/G/TBTN26/VNM389.docx</v>
      </c>
      <c r="S1314" t="str">
        <f>HYPERLINK("https://docs.wto.org/imrd/directdoc.asp?DDFDocuments/u/G/TBTN26/VNM389.docx", "https://docs.wto.org/imrd/directdoc.asp?DDFDocuments/u/G/TBTN26/VNM389.docx")</f>
        <v>https://docs.wto.org/imrd/directdoc.asp?DDFDocuments/u/G/TBTN26/VNM389.docx</v>
      </c>
      <c r="T1314" t="str">
        <f>HYPERLINK("https://docs.wto.org/imrd/directdoc.asp?DDFDocuments/v/G/TBTN26/VNM389.docx", "https://docs.wto.org/imrd/directdoc.asp?DDFDocuments/v/G/TBTN26/VNM389.docx")</f>
        <v>https://docs.wto.org/imrd/directdoc.asp?DDFDocuments/v/G/TBTN26/VNM389.docx</v>
      </c>
      <c r="U1314" t="s">
        <v>64</v>
      </c>
      <c r="V1314" t="s">
        <v>46</v>
      </c>
      <c r="W1314" t="s">
        <v>46</v>
      </c>
      <c r="X1314" t="s">
        <v>46</v>
      </c>
      <c r="Y1314" t="s">
        <v>46</v>
      </c>
      <c r="Z1314" t="s">
        <v>46</v>
      </c>
      <c r="AA1314" t="s">
        <v>46</v>
      </c>
      <c r="AB1314" s="2" t="s">
        <v>5147</v>
      </c>
      <c r="AC1314" t="s">
        <v>43</v>
      </c>
      <c r="AD1314" t="s">
        <v>43</v>
      </c>
      <c r="AE1314" t="s">
        <v>43</v>
      </c>
      <c r="AF1314" t="s">
        <v>43</v>
      </c>
      <c r="AG1314" t="s">
        <v>43</v>
      </c>
      <c r="AH1314" s="2" t="s">
        <v>43</v>
      </c>
    </row>
    <row r="1315" spans="1:34">
      <c r="A1315" s="6" t="s">
        <v>74</v>
      </c>
      <c r="B1315" s="7">
        <v>46029</v>
      </c>
      <c r="C1315" s="9" t="str">
        <f>HYPERLINK("https://eping.wto.org/en/Search?viewData= G/SPS/N/IND/344"," G/SPS/N/IND/344")</f>
        <v xml:space="preserve"> G/SPS/N/IND/344</v>
      </c>
      <c r="D1315" s="8" t="s">
        <v>5148</v>
      </c>
      <c r="E1315" s="8" t="s">
        <v>5149</v>
      </c>
      <c r="F1315" s="8" t="s">
        <v>5150</v>
      </c>
      <c r="G1315" s="8" t="s">
        <v>43</v>
      </c>
      <c r="H1315" s="8" t="s">
        <v>43</v>
      </c>
      <c r="I1315" s="8" t="s">
        <v>1721</v>
      </c>
      <c r="J1315" s="8" t="s">
        <v>43</v>
      </c>
      <c r="K1315" s="8" t="s">
        <v>1497</v>
      </c>
      <c r="L1315" s="6" t="s">
        <v>43</v>
      </c>
      <c r="M1315" s="7">
        <v>46089</v>
      </c>
      <c r="N1315" s="7" t="s">
        <v>304</v>
      </c>
      <c r="O1315" s="7" t="s">
        <v>304</v>
      </c>
      <c r="P1315" s="6" t="s">
        <v>62</v>
      </c>
      <c r="Q1315" s="8" t="s">
        <v>5151</v>
      </c>
      <c r="R1315" t="str">
        <f>HYPERLINK("https://docs.wto.org/imrd/directdoc.asp?DDFDocuments/t/G/SPS/NIND344.docx", "https://docs.wto.org/imrd/directdoc.asp?DDFDocuments/t/G/SPS/NIND344.docx")</f>
        <v>https://docs.wto.org/imrd/directdoc.asp?DDFDocuments/t/G/SPS/NIND344.docx</v>
      </c>
      <c r="S1315" t="str">
        <f>HYPERLINK("https://docs.wto.org/imrd/directdoc.asp?DDFDocuments/u/G/SPS/NIND344.docx", "https://docs.wto.org/imrd/directdoc.asp?DDFDocuments/u/G/SPS/NIND344.docx")</f>
        <v>https://docs.wto.org/imrd/directdoc.asp?DDFDocuments/u/G/SPS/NIND344.docx</v>
      </c>
      <c r="T1315" t="str">
        <f>HYPERLINK("https://docs.wto.org/imrd/directdoc.asp?DDFDocuments/v/G/SPS/NIND344.docx", "https://docs.wto.org/imrd/directdoc.asp?DDFDocuments/v/G/SPS/NIND344.docx")</f>
        <v>https://docs.wto.org/imrd/directdoc.asp?DDFDocuments/v/G/SPS/NIND344.docx</v>
      </c>
      <c r="U1315" t="s">
        <v>43</v>
      </c>
      <c r="V1315" t="s">
        <v>43</v>
      </c>
      <c r="W1315" t="s">
        <v>43</v>
      </c>
      <c r="X1315" t="s">
        <v>43</v>
      </c>
      <c r="Y1315" t="s">
        <v>43</v>
      </c>
      <c r="Z1315" t="s">
        <v>43</v>
      </c>
      <c r="AA1315" t="s">
        <v>43</v>
      </c>
      <c r="AB1315" s="2" t="s">
        <v>43</v>
      </c>
      <c r="AC1315" t="s">
        <v>46</v>
      </c>
      <c r="AD1315" t="s">
        <v>64</v>
      </c>
      <c r="AE1315" t="s">
        <v>46</v>
      </c>
      <c r="AF1315" t="s">
        <v>46</v>
      </c>
      <c r="AG1315" t="s">
        <v>64</v>
      </c>
      <c r="AH1315" s="2" t="s">
        <v>43</v>
      </c>
    </row>
    <row r="1316" spans="1:34" ht="135">
      <c r="A1316" s="6" t="s">
        <v>892</v>
      </c>
      <c r="B1316" s="7">
        <v>46029</v>
      </c>
      <c r="C1316" s="9" t="str">
        <f>HYPERLINK("https://eping.wto.org/en/Search?viewData= G/TBT/N/PAN/142"," G/TBT/N/PAN/142")</f>
        <v xml:space="preserve"> G/TBT/N/PAN/142</v>
      </c>
      <c r="D1316" s="8" t="s">
        <v>5152</v>
      </c>
      <c r="E1316" s="8" t="s">
        <v>5153</v>
      </c>
      <c r="F1316" s="8" t="s">
        <v>5154</v>
      </c>
      <c r="G1316" s="8" t="s">
        <v>43</v>
      </c>
      <c r="H1316" s="8" t="s">
        <v>1985</v>
      </c>
      <c r="I1316" s="8" t="s">
        <v>1483</v>
      </c>
      <c r="J1316" s="8" t="s">
        <v>43</v>
      </c>
      <c r="K1316" s="8" t="s">
        <v>240</v>
      </c>
      <c r="L1316" s="6"/>
      <c r="M1316" s="7">
        <v>46089</v>
      </c>
      <c r="N1316" s="7" t="s">
        <v>79</v>
      </c>
      <c r="O1316" s="7" t="s">
        <v>79</v>
      </c>
      <c r="P1316" s="6" t="s">
        <v>62</v>
      </c>
      <c r="Q1316" s="8" t="s">
        <v>5155</v>
      </c>
      <c r="R1316" t="str">
        <f>HYPERLINK("https://docs.wto.org/imrd/directdoc.asp?DDFDocuments/t/G/TBTN26/PAN142.docx", "https://docs.wto.org/imrd/directdoc.asp?DDFDocuments/t/G/TBTN26/PAN142.docx")</f>
        <v>https://docs.wto.org/imrd/directdoc.asp?DDFDocuments/t/G/TBTN26/PAN142.docx</v>
      </c>
      <c r="S1316" t="str">
        <f>HYPERLINK("https://docs.wto.org/imrd/directdoc.asp?DDFDocuments/u/G/TBTN26/PAN142.docx", "https://docs.wto.org/imrd/directdoc.asp?DDFDocuments/u/G/TBTN26/PAN142.docx")</f>
        <v>https://docs.wto.org/imrd/directdoc.asp?DDFDocuments/u/G/TBTN26/PAN142.docx</v>
      </c>
      <c r="T1316" t="str">
        <f>HYPERLINK("https://docs.wto.org/imrd/directdoc.asp?DDFDocuments/v/G/TBTN26/PAN142.docx", "https://docs.wto.org/imrd/directdoc.asp?DDFDocuments/v/G/TBTN26/PAN142.docx")</f>
        <v>https://docs.wto.org/imrd/directdoc.asp?DDFDocuments/v/G/TBTN26/PAN142.docx</v>
      </c>
      <c r="U1316" t="s">
        <v>64</v>
      </c>
      <c r="V1316" t="s">
        <v>46</v>
      </c>
      <c r="W1316" t="s">
        <v>46</v>
      </c>
      <c r="X1316" t="s">
        <v>46</v>
      </c>
      <c r="Y1316" t="s">
        <v>46</v>
      </c>
      <c r="Z1316" t="s">
        <v>46</v>
      </c>
      <c r="AA1316" t="s">
        <v>46</v>
      </c>
      <c r="AB1316" s="2" t="s">
        <v>5156</v>
      </c>
      <c r="AC1316" t="s">
        <v>43</v>
      </c>
      <c r="AD1316" t="s">
        <v>43</v>
      </c>
      <c r="AE1316" t="s">
        <v>43</v>
      </c>
      <c r="AF1316" t="s">
        <v>43</v>
      </c>
      <c r="AG1316" t="s">
        <v>43</v>
      </c>
      <c r="AH1316" s="2" t="s">
        <v>43</v>
      </c>
    </row>
    <row r="1317" spans="1:34" ht="240">
      <c r="A1317" s="6" t="s">
        <v>892</v>
      </c>
      <c r="B1317" s="7">
        <v>46029</v>
      </c>
      <c r="C1317" s="9" t="str">
        <f>HYPERLINK("https://eping.wto.org/en/Search?viewData= G/TBT/N/PAN/152"," G/TBT/N/PAN/152")</f>
        <v xml:space="preserve"> G/TBT/N/PAN/152</v>
      </c>
      <c r="D1317" s="8" t="s">
        <v>5157</v>
      </c>
      <c r="E1317" s="8" t="s">
        <v>5158</v>
      </c>
      <c r="F1317" s="8" t="s">
        <v>5159</v>
      </c>
      <c r="G1317" s="8" t="s">
        <v>43</v>
      </c>
      <c r="H1317" s="8" t="s">
        <v>5106</v>
      </c>
      <c r="I1317" s="8" t="s">
        <v>1483</v>
      </c>
      <c r="J1317" s="8" t="s">
        <v>43</v>
      </c>
      <c r="K1317" s="8" t="s">
        <v>240</v>
      </c>
      <c r="L1317" s="6"/>
      <c r="M1317" s="7">
        <v>46089</v>
      </c>
      <c r="N1317" s="7" t="s">
        <v>79</v>
      </c>
      <c r="O1317" s="7" t="s">
        <v>79</v>
      </c>
      <c r="P1317" s="6" t="s">
        <v>62</v>
      </c>
      <c r="Q1317" s="8" t="s">
        <v>5160</v>
      </c>
      <c r="R1317" t="str">
        <f>HYPERLINK("https://docs.wto.org/imrd/directdoc.asp?DDFDocuments/t/G/TBTN26/PAN152.docx", "https://docs.wto.org/imrd/directdoc.asp?DDFDocuments/t/G/TBTN26/PAN152.docx")</f>
        <v>https://docs.wto.org/imrd/directdoc.asp?DDFDocuments/t/G/TBTN26/PAN152.docx</v>
      </c>
      <c r="S1317" t="str">
        <f>HYPERLINK("https://docs.wto.org/imrd/directdoc.asp?DDFDocuments/u/G/TBTN26/PAN152.docx", "https://docs.wto.org/imrd/directdoc.asp?DDFDocuments/u/G/TBTN26/PAN152.docx")</f>
        <v>https://docs.wto.org/imrd/directdoc.asp?DDFDocuments/u/G/TBTN26/PAN152.docx</v>
      </c>
      <c r="T1317" t="str">
        <f>HYPERLINK("https://docs.wto.org/imrd/directdoc.asp?DDFDocuments/v/G/TBTN26/PAN152.docx", "https://docs.wto.org/imrd/directdoc.asp?DDFDocuments/v/G/TBTN26/PAN152.docx")</f>
        <v>https://docs.wto.org/imrd/directdoc.asp?DDFDocuments/v/G/TBTN26/PAN152.docx</v>
      </c>
      <c r="U1317" t="s">
        <v>64</v>
      </c>
      <c r="V1317" t="s">
        <v>46</v>
      </c>
      <c r="W1317" t="s">
        <v>46</v>
      </c>
      <c r="X1317" t="s">
        <v>46</v>
      </c>
      <c r="Y1317" t="s">
        <v>46</v>
      </c>
      <c r="Z1317" t="s">
        <v>46</v>
      </c>
      <c r="AA1317" t="s">
        <v>46</v>
      </c>
      <c r="AB1317" s="2" t="s">
        <v>5161</v>
      </c>
      <c r="AC1317" t="s">
        <v>43</v>
      </c>
      <c r="AD1317" t="s">
        <v>43</v>
      </c>
      <c r="AE1317" t="s">
        <v>43</v>
      </c>
      <c r="AF1317" t="s">
        <v>43</v>
      </c>
      <c r="AG1317" t="s">
        <v>43</v>
      </c>
      <c r="AH1317" s="2" t="s">
        <v>43</v>
      </c>
    </row>
    <row r="1318" spans="1:34" ht="90">
      <c r="A1318" s="6" t="s">
        <v>577</v>
      </c>
      <c r="B1318" s="7">
        <v>46029</v>
      </c>
      <c r="C1318" s="9" t="str">
        <f>HYPERLINK("https://eping.wto.org/en/Search?viewData= G/TBT/N/BDI/703, G/TBT/N/KEN/1967, G/TBT/N/RWA/1333, G/TBT/N/TZA/1483, G/TBT/N/UGA/2301"," G/TBT/N/BDI/703, G/TBT/N/KEN/1967, G/TBT/N/RWA/1333, G/TBT/N/TZA/1483, G/TBT/N/UGA/2301")</f>
        <v xml:space="preserve"> G/TBT/N/BDI/703, G/TBT/N/KEN/1967, G/TBT/N/RWA/1333, G/TBT/N/TZA/1483, G/TBT/N/UGA/2301</v>
      </c>
      <c r="D1318" s="8" t="s">
        <v>5074</v>
      </c>
      <c r="E1318" s="8" t="s">
        <v>5075</v>
      </c>
      <c r="F1318" s="8" t="s">
        <v>5076</v>
      </c>
      <c r="G1318" s="8" t="s">
        <v>5077</v>
      </c>
      <c r="H1318" s="8" t="s">
        <v>4990</v>
      </c>
      <c r="I1318" s="8" t="s">
        <v>4991</v>
      </c>
      <c r="J1318" s="8" t="s">
        <v>43</v>
      </c>
      <c r="K1318" s="8" t="s">
        <v>43</v>
      </c>
      <c r="L1318" s="6"/>
      <c r="M1318" s="7">
        <v>46089</v>
      </c>
      <c r="N1318" s="7" t="s">
        <v>79</v>
      </c>
      <c r="O1318" s="7" t="s">
        <v>79</v>
      </c>
      <c r="P1318" s="6" t="s">
        <v>62</v>
      </c>
      <c r="Q1318" s="8" t="s">
        <v>5078</v>
      </c>
      <c r="R1318" t="str">
        <f>HYPERLINK("https://docs.wto.org/imrd/directdoc.asp?DDFDocuments/t/G/TBTN26/BDI703.docx", "https://docs.wto.org/imrd/directdoc.asp?DDFDocuments/t/G/TBTN26/BDI703.docx")</f>
        <v>https://docs.wto.org/imrd/directdoc.asp?DDFDocuments/t/G/TBTN26/BDI703.docx</v>
      </c>
      <c r="S1318" t="str">
        <f>HYPERLINK("https://docs.wto.org/imrd/directdoc.asp?DDFDocuments/u/G/TBTN26/BDI703.docx", "https://docs.wto.org/imrd/directdoc.asp?DDFDocuments/u/G/TBTN26/BDI703.docx")</f>
        <v>https://docs.wto.org/imrd/directdoc.asp?DDFDocuments/u/G/TBTN26/BDI703.docx</v>
      </c>
      <c r="T1318" t="str">
        <f>HYPERLINK("https://docs.wto.org/imrd/directdoc.asp?DDFDocuments/v/G/TBTN26/BDI703.docx", "https://docs.wto.org/imrd/directdoc.asp?DDFDocuments/v/G/TBTN26/BDI703.docx")</f>
        <v>https://docs.wto.org/imrd/directdoc.asp?DDFDocuments/v/G/TBTN26/BDI703.docx</v>
      </c>
      <c r="U1318" t="s">
        <v>64</v>
      </c>
      <c r="V1318" t="s">
        <v>46</v>
      </c>
      <c r="W1318" t="s">
        <v>64</v>
      </c>
      <c r="X1318" t="s">
        <v>46</v>
      </c>
      <c r="Y1318" t="s">
        <v>46</v>
      </c>
      <c r="Z1318" t="s">
        <v>46</v>
      </c>
      <c r="AA1318" t="s">
        <v>46</v>
      </c>
      <c r="AB1318" s="2" t="s">
        <v>5079</v>
      </c>
      <c r="AC1318" t="s">
        <v>43</v>
      </c>
      <c r="AD1318" t="s">
        <v>43</v>
      </c>
      <c r="AE1318" t="s">
        <v>43</v>
      </c>
      <c r="AF1318" t="s">
        <v>43</v>
      </c>
      <c r="AG1318" t="s">
        <v>43</v>
      </c>
      <c r="AH1318" s="2" t="s">
        <v>43</v>
      </c>
    </row>
    <row r="1319" spans="1:34" ht="90">
      <c r="A1319" s="6" t="s">
        <v>390</v>
      </c>
      <c r="B1319" s="7">
        <v>46029</v>
      </c>
      <c r="C1319" s="9" t="str">
        <f>HYPERLINK("https://eping.wto.org/en/Search?viewData= G/TBT/N/BDI/703, G/TBT/N/KEN/1967, G/TBT/N/RWA/1333, G/TBT/N/TZA/1483, G/TBT/N/UGA/2301"," G/TBT/N/BDI/703, G/TBT/N/KEN/1967, G/TBT/N/RWA/1333, G/TBT/N/TZA/1483, G/TBT/N/UGA/2301")</f>
        <v xml:space="preserve"> G/TBT/N/BDI/703, G/TBT/N/KEN/1967, G/TBT/N/RWA/1333, G/TBT/N/TZA/1483, G/TBT/N/UGA/2301</v>
      </c>
      <c r="D1319" s="8" t="s">
        <v>5074</v>
      </c>
      <c r="E1319" s="8" t="s">
        <v>5075</v>
      </c>
      <c r="F1319" s="8" t="s">
        <v>5076</v>
      </c>
      <c r="G1319" s="8" t="s">
        <v>5077</v>
      </c>
      <c r="H1319" s="8" t="s">
        <v>4990</v>
      </c>
      <c r="I1319" s="8" t="s">
        <v>4991</v>
      </c>
      <c r="J1319" s="8" t="s">
        <v>43</v>
      </c>
      <c r="K1319" s="8" t="s">
        <v>43</v>
      </c>
      <c r="L1319" s="6"/>
      <c r="M1319" s="7">
        <v>46089</v>
      </c>
      <c r="N1319" s="7" t="s">
        <v>79</v>
      </c>
      <c r="O1319" s="7" t="s">
        <v>79</v>
      </c>
      <c r="P1319" s="6" t="s">
        <v>62</v>
      </c>
      <c r="Q1319" s="8" t="s">
        <v>5078</v>
      </c>
      <c r="R1319" t="str">
        <f>HYPERLINK("https://docs.wto.org/imrd/directdoc.asp?DDFDocuments/t/G/TBTN26/BDI703.docx", "https://docs.wto.org/imrd/directdoc.asp?DDFDocuments/t/G/TBTN26/BDI703.docx")</f>
        <v>https://docs.wto.org/imrd/directdoc.asp?DDFDocuments/t/G/TBTN26/BDI703.docx</v>
      </c>
      <c r="S1319" t="str">
        <f>HYPERLINK("https://docs.wto.org/imrd/directdoc.asp?DDFDocuments/u/G/TBTN26/BDI703.docx", "https://docs.wto.org/imrd/directdoc.asp?DDFDocuments/u/G/TBTN26/BDI703.docx")</f>
        <v>https://docs.wto.org/imrd/directdoc.asp?DDFDocuments/u/G/TBTN26/BDI703.docx</v>
      </c>
      <c r="T1319" t="str">
        <f>HYPERLINK("https://docs.wto.org/imrd/directdoc.asp?DDFDocuments/v/G/TBTN26/BDI703.docx", "https://docs.wto.org/imrd/directdoc.asp?DDFDocuments/v/G/TBTN26/BDI703.docx")</f>
        <v>https://docs.wto.org/imrd/directdoc.asp?DDFDocuments/v/G/TBTN26/BDI703.docx</v>
      </c>
      <c r="U1319" t="s">
        <v>64</v>
      </c>
      <c r="V1319" t="s">
        <v>46</v>
      </c>
      <c r="W1319" t="s">
        <v>64</v>
      </c>
      <c r="X1319" t="s">
        <v>46</v>
      </c>
      <c r="Y1319" t="s">
        <v>46</v>
      </c>
      <c r="Z1319" t="s">
        <v>46</v>
      </c>
      <c r="AA1319" t="s">
        <v>46</v>
      </c>
      <c r="AB1319" s="2" t="s">
        <v>5079</v>
      </c>
      <c r="AC1319" t="s">
        <v>43</v>
      </c>
      <c r="AD1319" t="s">
        <v>43</v>
      </c>
      <c r="AE1319" t="s">
        <v>43</v>
      </c>
      <c r="AF1319" t="s">
        <v>43</v>
      </c>
      <c r="AG1319" t="s">
        <v>43</v>
      </c>
      <c r="AH1319" s="2" t="s">
        <v>43</v>
      </c>
    </row>
    <row r="1320" spans="1:34" ht="210">
      <c r="A1320" s="6" t="s">
        <v>509</v>
      </c>
      <c r="B1320" s="7">
        <v>46029</v>
      </c>
      <c r="C1320" s="9" t="str">
        <f>HYPERLINK("https://eping.wto.org/en/Search?viewData= G/TBT/N/BDI/705, G/TBT/N/KEN/1969, G/TBT/N/RWA/1335, G/TBT/N/TZA/1485, G/TBT/N/UGA/2303"," G/TBT/N/BDI/705, G/TBT/N/KEN/1969, G/TBT/N/RWA/1335, G/TBT/N/TZA/1485, G/TBT/N/UGA/2303")</f>
        <v xml:space="preserve"> G/TBT/N/BDI/705, G/TBT/N/KEN/1969, G/TBT/N/RWA/1335, G/TBT/N/TZA/1485, G/TBT/N/UGA/2303</v>
      </c>
      <c r="D1320" s="8" t="s">
        <v>4994</v>
      </c>
      <c r="E1320" s="8" t="s">
        <v>4995</v>
      </c>
      <c r="F1320" s="8" t="s">
        <v>4996</v>
      </c>
      <c r="G1320" s="8" t="s">
        <v>3721</v>
      </c>
      <c r="H1320" s="8" t="s">
        <v>4990</v>
      </c>
      <c r="I1320" s="8" t="s">
        <v>1035</v>
      </c>
      <c r="J1320" s="8" t="s">
        <v>43</v>
      </c>
      <c r="K1320" s="8" t="s">
        <v>43</v>
      </c>
      <c r="L1320" s="6"/>
      <c r="M1320" s="7">
        <v>46089</v>
      </c>
      <c r="N1320" s="7" t="s">
        <v>79</v>
      </c>
      <c r="O1320" s="7" t="s">
        <v>79</v>
      </c>
      <c r="P1320" s="6" t="s">
        <v>62</v>
      </c>
      <c r="Q1320" s="8" t="s">
        <v>4997</v>
      </c>
      <c r="R1320" t="str">
        <f>HYPERLINK("https://docs.wto.org/imrd/directdoc.asp?DDFDocuments/t/G/TBTN26/BDI705.docx", "https://docs.wto.org/imrd/directdoc.asp?DDFDocuments/t/G/TBTN26/BDI705.docx")</f>
        <v>https://docs.wto.org/imrd/directdoc.asp?DDFDocuments/t/G/TBTN26/BDI705.docx</v>
      </c>
      <c r="S1320" t="str">
        <f>HYPERLINK("https://docs.wto.org/imrd/directdoc.asp?DDFDocuments/u/G/TBTN26/BDI705.docx", "https://docs.wto.org/imrd/directdoc.asp?DDFDocuments/u/G/TBTN26/BDI705.docx")</f>
        <v>https://docs.wto.org/imrd/directdoc.asp?DDFDocuments/u/G/TBTN26/BDI705.docx</v>
      </c>
      <c r="T1320" t="str">
        <f>HYPERLINK("https://docs.wto.org/imrd/directdoc.asp?DDFDocuments/v/G/TBTN26/BDI705.docx", "https://docs.wto.org/imrd/directdoc.asp?DDFDocuments/v/G/TBTN26/BDI705.docx")</f>
        <v>https://docs.wto.org/imrd/directdoc.asp?DDFDocuments/v/G/TBTN26/BDI705.docx</v>
      </c>
      <c r="U1320" t="s">
        <v>64</v>
      </c>
      <c r="V1320" t="s">
        <v>46</v>
      </c>
      <c r="W1320" t="s">
        <v>64</v>
      </c>
      <c r="X1320" t="s">
        <v>46</v>
      </c>
      <c r="Y1320" t="s">
        <v>46</v>
      </c>
      <c r="Z1320" t="s">
        <v>46</v>
      </c>
      <c r="AA1320" t="s">
        <v>46</v>
      </c>
      <c r="AB1320" s="2" t="s">
        <v>4998</v>
      </c>
      <c r="AC1320" t="s">
        <v>43</v>
      </c>
      <c r="AD1320" t="s">
        <v>43</v>
      </c>
      <c r="AE1320" t="s">
        <v>43</v>
      </c>
      <c r="AF1320" t="s">
        <v>43</v>
      </c>
      <c r="AG1320" t="s">
        <v>43</v>
      </c>
      <c r="AH1320" s="2" t="s">
        <v>43</v>
      </c>
    </row>
    <row r="1321" spans="1:34" ht="90">
      <c r="A1321" s="6" t="s">
        <v>185</v>
      </c>
      <c r="B1321" s="7">
        <v>46029</v>
      </c>
      <c r="C1321" s="9" t="str">
        <f>HYPERLINK("https://eping.wto.org/en/Search?viewData= G/TBT/N/CHN/2179"," G/TBT/N/CHN/2179")</f>
        <v xml:space="preserve"> G/TBT/N/CHN/2179</v>
      </c>
      <c r="D1321" s="8" t="s">
        <v>5162</v>
      </c>
      <c r="E1321" s="8" t="s">
        <v>5163</v>
      </c>
      <c r="F1321" s="8" t="s">
        <v>5164</v>
      </c>
      <c r="G1321" s="8" t="s">
        <v>5165</v>
      </c>
      <c r="H1321" s="8" t="s">
        <v>5166</v>
      </c>
      <c r="I1321" s="8" t="s">
        <v>275</v>
      </c>
      <c r="J1321" s="8" t="s">
        <v>43</v>
      </c>
      <c r="K1321" s="8" t="s">
        <v>43</v>
      </c>
      <c r="L1321" s="6"/>
      <c r="M1321" s="7" t="s">
        <v>43</v>
      </c>
      <c r="N1321" s="7" t="s">
        <v>79</v>
      </c>
      <c r="O1321" s="7" t="s">
        <v>192</v>
      </c>
      <c r="P1321" s="6" t="s">
        <v>62</v>
      </c>
      <c r="Q1321" s="8" t="s">
        <v>5167</v>
      </c>
      <c r="R1321" t="str">
        <f>HYPERLINK("https://docs.wto.org/imrd/directdoc.asp?DDFDocuments/t/G/TBTN26/CHN2179.docx", "https://docs.wto.org/imrd/directdoc.asp?DDFDocuments/t/G/TBTN26/CHN2179.docx")</f>
        <v>https://docs.wto.org/imrd/directdoc.asp?DDFDocuments/t/G/TBTN26/CHN2179.docx</v>
      </c>
      <c r="S1321" t="str">
        <f>HYPERLINK("https://docs.wto.org/imrd/directdoc.asp?DDFDocuments/u/G/TBTN26/CHN2179.docx", "https://docs.wto.org/imrd/directdoc.asp?DDFDocuments/u/G/TBTN26/CHN2179.docx")</f>
        <v>https://docs.wto.org/imrd/directdoc.asp?DDFDocuments/u/G/TBTN26/CHN2179.docx</v>
      </c>
      <c r="T1321" t="str">
        <f>HYPERLINK("https://docs.wto.org/imrd/directdoc.asp?DDFDocuments/v/G/TBTN26/CHN2179.docx", "https://docs.wto.org/imrd/directdoc.asp?DDFDocuments/v/G/TBTN26/CHN2179.docx")</f>
        <v>https://docs.wto.org/imrd/directdoc.asp?DDFDocuments/v/G/TBTN26/CHN2179.docx</v>
      </c>
      <c r="U1321" t="s">
        <v>46</v>
      </c>
      <c r="V1321" t="s">
        <v>46</v>
      </c>
      <c r="W1321" t="s">
        <v>46</v>
      </c>
      <c r="X1321" t="s">
        <v>64</v>
      </c>
      <c r="Y1321" t="s">
        <v>46</v>
      </c>
      <c r="Z1321" t="s">
        <v>46</v>
      </c>
      <c r="AA1321" t="s">
        <v>46</v>
      </c>
      <c r="AB1321" s="2" t="s">
        <v>43</v>
      </c>
      <c r="AC1321" t="s">
        <v>43</v>
      </c>
      <c r="AD1321" t="s">
        <v>43</v>
      </c>
      <c r="AE1321" t="s">
        <v>43</v>
      </c>
      <c r="AF1321" t="s">
        <v>43</v>
      </c>
      <c r="AG1321" t="s">
        <v>43</v>
      </c>
      <c r="AH1321" s="2" t="s">
        <v>43</v>
      </c>
    </row>
    <row r="1322" spans="1:34" ht="90">
      <c r="A1322" s="6" t="s">
        <v>509</v>
      </c>
      <c r="B1322" s="7">
        <v>46029</v>
      </c>
      <c r="C1322" s="9" t="str">
        <f>HYPERLINK("https://eping.wto.org/en/Search?viewData= G/TBT/N/BDI/704, G/TBT/N/KEN/1968, G/TBT/N/RWA/1334, G/TBT/N/TZA/1484, G/TBT/N/UGA/2302"," G/TBT/N/BDI/704, G/TBT/N/KEN/1968, G/TBT/N/RWA/1334, G/TBT/N/TZA/1484, G/TBT/N/UGA/2302")</f>
        <v xml:space="preserve"> G/TBT/N/BDI/704, G/TBT/N/KEN/1968, G/TBT/N/RWA/1334, G/TBT/N/TZA/1484, G/TBT/N/UGA/2302</v>
      </c>
      <c r="D1322" s="8" t="s">
        <v>5168</v>
      </c>
      <c r="E1322" s="8" t="s">
        <v>5169</v>
      </c>
      <c r="F1322" s="8" t="s">
        <v>5170</v>
      </c>
      <c r="G1322" s="8" t="s">
        <v>5171</v>
      </c>
      <c r="H1322" s="8" t="s">
        <v>4990</v>
      </c>
      <c r="I1322" s="8" t="s">
        <v>4991</v>
      </c>
      <c r="J1322" s="8" t="s">
        <v>43</v>
      </c>
      <c r="K1322" s="8" t="s">
        <v>43</v>
      </c>
      <c r="L1322" s="6"/>
      <c r="M1322" s="7">
        <v>46089</v>
      </c>
      <c r="N1322" s="7" t="s">
        <v>79</v>
      </c>
      <c r="O1322" s="7" t="s">
        <v>79</v>
      </c>
      <c r="P1322" s="6" t="s">
        <v>62</v>
      </c>
      <c r="Q1322" s="8" t="s">
        <v>5172</v>
      </c>
      <c r="R1322" t="str">
        <f>HYPERLINK("https://docs.wto.org/imrd/directdoc.asp?DDFDocuments/t/G/TBTN26/BDI704.docx", "https://docs.wto.org/imrd/directdoc.asp?DDFDocuments/t/G/TBTN26/BDI704.docx")</f>
        <v>https://docs.wto.org/imrd/directdoc.asp?DDFDocuments/t/G/TBTN26/BDI704.docx</v>
      </c>
      <c r="S1322" t="str">
        <f>HYPERLINK("https://docs.wto.org/imrd/directdoc.asp?DDFDocuments/u/G/TBTN26/BDI704.docx", "https://docs.wto.org/imrd/directdoc.asp?DDFDocuments/u/G/TBTN26/BDI704.docx")</f>
        <v>https://docs.wto.org/imrd/directdoc.asp?DDFDocuments/u/G/TBTN26/BDI704.docx</v>
      </c>
      <c r="T1322" t="str">
        <f>HYPERLINK("https://docs.wto.org/imrd/directdoc.asp?DDFDocuments/v/G/TBTN26/BDI704.docx", "https://docs.wto.org/imrd/directdoc.asp?DDFDocuments/v/G/TBTN26/BDI704.docx")</f>
        <v>https://docs.wto.org/imrd/directdoc.asp?DDFDocuments/v/G/TBTN26/BDI704.docx</v>
      </c>
      <c r="U1322" t="s">
        <v>64</v>
      </c>
      <c r="V1322" t="s">
        <v>46</v>
      </c>
      <c r="W1322" t="s">
        <v>64</v>
      </c>
      <c r="X1322" t="s">
        <v>46</v>
      </c>
      <c r="Y1322" t="s">
        <v>46</v>
      </c>
      <c r="Z1322" t="s">
        <v>46</v>
      </c>
      <c r="AA1322" t="s">
        <v>46</v>
      </c>
      <c r="AB1322" s="2" t="s">
        <v>5173</v>
      </c>
      <c r="AC1322" t="s">
        <v>43</v>
      </c>
      <c r="AD1322" t="s">
        <v>43</v>
      </c>
      <c r="AE1322" t="s">
        <v>43</v>
      </c>
      <c r="AF1322" t="s">
        <v>43</v>
      </c>
      <c r="AG1322" t="s">
        <v>43</v>
      </c>
      <c r="AH1322" s="2" t="s">
        <v>43</v>
      </c>
    </row>
    <row r="1323" spans="1:34" ht="45">
      <c r="A1323" s="6" t="s">
        <v>1917</v>
      </c>
      <c r="B1323" s="7">
        <v>46029</v>
      </c>
      <c r="C1323" s="9" t="str">
        <f>HYPERLINK("https://eping.wto.org/en/Search?viewData= G/SPS/N/EGY/178"," G/SPS/N/EGY/178")</f>
        <v xml:space="preserve"> G/SPS/N/EGY/178</v>
      </c>
      <c r="D1323" s="8" t="s">
        <v>5174</v>
      </c>
      <c r="E1323" s="8" t="s">
        <v>5175</v>
      </c>
      <c r="F1323" s="8" t="s">
        <v>5176</v>
      </c>
      <c r="G1323" s="8" t="s">
        <v>5177</v>
      </c>
      <c r="H1323" s="8" t="s">
        <v>507</v>
      </c>
      <c r="I1323" s="8" t="s">
        <v>58</v>
      </c>
      <c r="J1323" s="8" t="s">
        <v>43</v>
      </c>
      <c r="K1323" s="8" t="s">
        <v>157</v>
      </c>
      <c r="L1323" s="6" t="s">
        <v>43</v>
      </c>
      <c r="M1323" s="7">
        <v>46089</v>
      </c>
      <c r="N1323" s="7" t="s">
        <v>304</v>
      </c>
      <c r="O1323" s="7" t="s">
        <v>304</v>
      </c>
      <c r="P1323" s="6" t="s">
        <v>62</v>
      </c>
      <c r="Q1323" s="6"/>
      <c r="R1323" t="str">
        <f>HYPERLINK("https://docs.wto.org/imrd/directdoc.asp?DDFDocuments/t/G/SPS/NEGY178.docx", "https://docs.wto.org/imrd/directdoc.asp?DDFDocuments/t/G/SPS/NEGY178.docx")</f>
        <v>https://docs.wto.org/imrd/directdoc.asp?DDFDocuments/t/G/SPS/NEGY178.docx</v>
      </c>
      <c r="S1323" t="str">
        <f>HYPERLINK("https://docs.wto.org/imrd/directdoc.asp?DDFDocuments/u/G/SPS/NEGY178.docx", "https://docs.wto.org/imrd/directdoc.asp?DDFDocuments/u/G/SPS/NEGY178.docx")</f>
        <v>https://docs.wto.org/imrd/directdoc.asp?DDFDocuments/u/G/SPS/NEGY178.docx</v>
      </c>
      <c r="T1323" t="str">
        <f>HYPERLINK("https://docs.wto.org/imrd/directdoc.asp?DDFDocuments/v/G/SPS/NEGY178.docx", "https://docs.wto.org/imrd/directdoc.asp?DDFDocuments/v/G/SPS/NEGY178.docx")</f>
        <v>https://docs.wto.org/imrd/directdoc.asp?DDFDocuments/v/G/SPS/NEGY178.docx</v>
      </c>
      <c r="U1323" t="s">
        <v>43</v>
      </c>
      <c r="V1323" t="s">
        <v>43</v>
      </c>
      <c r="W1323" t="s">
        <v>43</v>
      </c>
      <c r="X1323" t="s">
        <v>43</v>
      </c>
      <c r="Y1323" t="s">
        <v>43</v>
      </c>
      <c r="Z1323" t="s">
        <v>43</v>
      </c>
      <c r="AA1323" t="s">
        <v>43</v>
      </c>
      <c r="AB1323" s="2" t="s">
        <v>43</v>
      </c>
      <c r="AC1323" t="s">
        <v>64</v>
      </c>
      <c r="AD1323" t="s">
        <v>46</v>
      </c>
      <c r="AE1323" t="s">
        <v>46</v>
      </c>
      <c r="AF1323" t="s">
        <v>46</v>
      </c>
      <c r="AG1323" t="s">
        <v>64</v>
      </c>
      <c r="AH1323" s="2" t="s">
        <v>43</v>
      </c>
    </row>
    <row r="1324" spans="1:34" ht="75">
      <c r="A1324" s="6" t="s">
        <v>892</v>
      </c>
      <c r="B1324" s="7">
        <v>46029</v>
      </c>
      <c r="C1324" s="9" t="str">
        <f>HYPERLINK("https://eping.wto.org/en/Search?viewData= G/SPS/N/PAN/98"," G/SPS/N/PAN/98")</f>
        <v xml:space="preserve"> G/SPS/N/PAN/98</v>
      </c>
      <c r="D1324" s="8" t="s">
        <v>5178</v>
      </c>
      <c r="E1324" s="8" t="s">
        <v>5179</v>
      </c>
      <c r="F1324" s="8" t="s">
        <v>4876</v>
      </c>
      <c r="G1324" s="8" t="s">
        <v>5180</v>
      </c>
      <c r="H1324" s="8" t="s">
        <v>4877</v>
      </c>
      <c r="I1324" s="8" t="s">
        <v>1090</v>
      </c>
      <c r="J1324" s="8" t="s">
        <v>43</v>
      </c>
      <c r="K1324" s="8" t="s">
        <v>310</v>
      </c>
      <c r="L1324" s="6" t="s">
        <v>43</v>
      </c>
      <c r="M1324" s="7">
        <v>46089</v>
      </c>
      <c r="N1324" s="7" t="s">
        <v>79</v>
      </c>
      <c r="O1324" s="7" t="s">
        <v>79</v>
      </c>
      <c r="P1324" s="6" t="s">
        <v>62</v>
      </c>
      <c r="Q1324" s="8" t="s">
        <v>5181</v>
      </c>
      <c r="R1324" t="str">
        <f>HYPERLINK("https://docs.wto.org/imrd/directdoc.asp?DDFDocuments/t/G/SPS/NPAN98.docx", "https://docs.wto.org/imrd/directdoc.asp?DDFDocuments/t/G/SPS/NPAN98.docx")</f>
        <v>https://docs.wto.org/imrd/directdoc.asp?DDFDocuments/t/G/SPS/NPAN98.docx</v>
      </c>
      <c r="S1324" t="str">
        <f>HYPERLINK("https://docs.wto.org/imrd/directdoc.asp?DDFDocuments/u/G/SPS/NPAN98.docx", "https://docs.wto.org/imrd/directdoc.asp?DDFDocuments/u/G/SPS/NPAN98.docx")</f>
        <v>https://docs.wto.org/imrd/directdoc.asp?DDFDocuments/u/G/SPS/NPAN98.docx</v>
      </c>
      <c r="T1324" t="str">
        <f>HYPERLINK("https://docs.wto.org/imrd/directdoc.asp?DDFDocuments/v/G/SPS/NPAN98.docx", "https://docs.wto.org/imrd/directdoc.asp?DDFDocuments/v/G/SPS/NPAN98.docx")</f>
        <v>https://docs.wto.org/imrd/directdoc.asp?DDFDocuments/v/G/SPS/NPAN98.docx</v>
      </c>
      <c r="U1324" t="s">
        <v>43</v>
      </c>
      <c r="V1324" t="s">
        <v>43</v>
      </c>
      <c r="W1324" t="s">
        <v>43</v>
      </c>
      <c r="X1324" t="s">
        <v>43</v>
      </c>
      <c r="Y1324" t="s">
        <v>43</v>
      </c>
      <c r="Z1324" t="s">
        <v>43</v>
      </c>
      <c r="AA1324" t="s">
        <v>43</v>
      </c>
      <c r="AB1324" s="2" t="s">
        <v>43</v>
      </c>
      <c r="AC1324" t="s">
        <v>64</v>
      </c>
      <c r="AD1324" t="s">
        <v>46</v>
      </c>
      <c r="AE1324" t="s">
        <v>46</v>
      </c>
      <c r="AF1324" t="s">
        <v>46</v>
      </c>
      <c r="AG1324" t="s">
        <v>64</v>
      </c>
      <c r="AH1324" s="2" t="s">
        <v>43</v>
      </c>
    </row>
    <row r="1325" spans="1:34">
      <c r="A1325" s="6" t="s">
        <v>325</v>
      </c>
      <c r="B1325" s="7">
        <v>46029</v>
      </c>
      <c r="C1325" s="9" t="str">
        <f>HYPERLINK("https://eping.wto.org/en/Search?viewData= G/SPS/N/TPKM/653"," G/SPS/N/TPKM/653")</f>
        <v xml:space="preserve"> G/SPS/N/TPKM/653</v>
      </c>
      <c r="D1325" s="8" t="s">
        <v>5182</v>
      </c>
      <c r="E1325" s="8" t="s">
        <v>5183</v>
      </c>
      <c r="F1325" s="8" t="s">
        <v>5184</v>
      </c>
      <c r="G1325" s="8" t="s">
        <v>43</v>
      </c>
      <c r="H1325" s="8" t="s">
        <v>43</v>
      </c>
      <c r="I1325" s="8" t="s">
        <v>58</v>
      </c>
      <c r="J1325" s="8" t="s">
        <v>43</v>
      </c>
      <c r="K1325" s="8" t="s">
        <v>310</v>
      </c>
      <c r="L1325" s="6" t="s">
        <v>43</v>
      </c>
      <c r="M1325" s="7">
        <v>46089</v>
      </c>
      <c r="N1325" s="7" t="s">
        <v>304</v>
      </c>
      <c r="O1325" s="7" t="s">
        <v>304</v>
      </c>
      <c r="P1325" s="6" t="s">
        <v>62</v>
      </c>
      <c r="Q1325" s="8" t="s">
        <v>5185</v>
      </c>
      <c r="R1325" t="str">
        <f>HYPERLINK("https://docs.wto.org/imrd/directdoc.asp?DDFDocuments/t/G/SPS/NTPKM653.docx", "https://docs.wto.org/imrd/directdoc.asp?DDFDocuments/t/G/SPS/NTPKM653.docx")</f>
        <v>https://docs.wto.org/imrd/directdoc.asp?DDFDocuments/t/G/SPS/NTPKM653.docx</v>
      </c>
      <c r="S1325" t="str">
        <f>HYPERLINK("https://docs.wto.org/imrd/directdoc.asp?DDFDocuments/u/G/SPS/NTPKM653.docx", "https://docs.wto.org/imrd/directdoc.asp?DDFDocuments/u/G/SPS/NTPKM653.docx")</f>
        <v>https://docs.wto.org/imrd/directdoc.asp?DDFDocuments/u/G/SPS/NTPKM653.docx</v>
      </c>
      <c r="T1325" t="str">
        <f>HYPERLINK("https://docs.wto.org/imrd/directdoc.asp?DDFDocuments/v/G/SPS/NTPKM653.docx", "https://docs.wto.org/imrd/directdoc.asp?DDFDocuments/v/G/SPS/NTPKM653.docx")</f>
        <v>https://docs.wto.org/imrd/directdoc.asp?DDFDocuments/v/G/SPS/NTPKM653.docx</v>
      </c>
      <c r="U1325" t="s">
        <v>43</v>
      </c>
      <c r="V1325" t="s">
        <v>43</v>
      </c>
      <c r="W1325" t="s">
        <v>43</v>
      </c>
      <c r="X1325" t="s">
        <v>43</v>
      </c>
      <c r="Y1325" t="s">
        <v>43</v>
      </c>
      <c r="Z1325" t="s">
        <v>43</v>
      </c>
      <c r="AA1325" t="s">
        <v>43</v>
      </c>
      <c r="AB1325" s="2" t="s">
        <v>43</v>
      </c>
      <c r="AC1325" t="s">
        <v>46</v>
      </c>
      <c r="AD1325" t="s">
        <v>46</v>
      </c>
      <c r="AE1325" t="s">
        <v>46</v>
      </c>
      <c r="AF1325" t="s">
        <v>64</v>
      </c>
      <c r="AG1325" t="s">
        <v>99</v>
      </c>
      <c r="AH1325" s="2" t="s">
        <v>43</v>
      </c>
    </row>
    <row r="1326" spans="1:34" ht="180">
      <c r="A1326" s="6" t="s">
        <v>892</v>
      </c>
      <c r="B1326" s="7">
        <v>46029</v>
      </c>
      <c r="C1326" s="9" t="str">
        <f>HYPERLINK("https://eping.wto.org/en/Search?viewData= G/TBT/N/PAN/154"," G/TBT/N/PAN/154")</f>
        <v xml:space="preserve"> G/TBT/N/PAN/154</v>
      </c>
      <c r="D1326" s="8" t="s">
        <v>5186</v>
      </c>
      <c r="E1326" s="8" t="s">
        <v>5187</v>
      </c>
      <c r="F1326" s="8" t="s">
        <v>4983</v>
      </c>
      <c r="G1326" s="8" t="s">
        <v>43</v>
      </c>
      <c r="H1326" s="8" t="s">
        <v>395</v>
      </c>
      <c r="I1326" s="8" t="s">
        <v>1483</v>
      </c>
      <c r="J1326" s="8" t="s">
        <v>43</v>
      </c>
      <c r="K1326" s="8" t="s">
        <v>240</v>
      </c>
      <c r="L1326" s="6"/>
      <c r="M1326" s="7">
        <v>46089</v>
      </c>
      <c r="N1326" s="7" t="s">
        <v>79</v>
      </c>
      <c r="O1326" s="7" t="s">
        <v>79</v>
      </c>
      <c r="P1326" s="6" t="s">
        <v>62</v>
      </c>
      <c r="Q1326" s="8" t="s">
        <v>5188</v>
      </c>
      <c r="R1326" t="str">
        <f>HYPERLINK("https://docs.wto.org/imrd/directdoc.asp?DDFDocuments/t/G/TBTN26/PAN154.docx", "https://docs.wto.org/imrd/directdoc.asp?DDFDocuments/t/G/TBTN26/PAN154.docx")</f>
        <v>https://docs.wto.org/imrd/directdoc.asp?DDFDocuments/t/G/TBTN26/PAN154.docx</v>
      </c>
      <c r="S1326" t="str">
        <f>HYPERLINK("https://docs.wto.org/imrd/directdoc.asp?DDFDocuments/u/G/TBTN26/PAN154.docx", "https://docs.wto.org/imrd/directdoc.asp?DDFDocuments/u/G/TBTN26/PAN154.docx")</f>
        <v>https://docs.wto.org/imrd/directdoc.asp?DDFDocuments/u/G/TBTN26/PAN154.docx</v>
      </c>
      <c r="T1326" t="str">
        <f>HYPERLINK("https://docs.wto.org/imrd/directdoc.asp?DDFDocuments/v/G/TBTN26/PAN154.docx", "https://docs.wto.org/imrd/directdoc.asp?DDFDocuments/v/G/TBTN26/PAN154.docx")</f>
        <v>https://docs.wto.org/imrd/directdoc.asp?DDFDocuments/v/G/TBTN26/PAN154.docx</v>
      </c>
      <c r="U1326" t="s">
        <v>64</v>
      </c>
      <c r="V1326" t="s">
        <v>46</v>
      </c>
      <c r="W1326" t="s">
        <v>46</v>
      </c>
      <c r="X1326" t="s">
        <v>46</v>
      </c>
      <c r="Y1326" t="s">
        <v>46</v>
      </c>
      <c r="Z1326" t="s">
        <v>46</v>
      </c>
      <c r="AA1326" t="s">
        <v>46</v>
      </c>
      <c r="AB1326" s="2" t="s">
        <v>4985</v>
      </c>
      <c r="AC1326" t="s">
        <v>43</v>
      </c>
      <c r="AD1326" t="s">
        <v>43</v>
      </c>
      <c r="AE1326" t="s">
        <v>43</v>
      </c>
      <c r="AF1326" t="s">
        <v>43</v>
      </c>
      <c r="AG1326" t="s">
        <v>43</v>
      </c>
      <c r="AH1326" s="2" t="s">
        <v>43</v>
      </c>
    </row>
    <row r="1327" spans="1:34" ht="90">
      <c r="A1327" s="6" t="s">
        <v>108</v>
      </c>
      <c r="B1327" s="7">
        <v>46029</v>
      </c>
      <c r="C1327" s="9" t="str">
        <f>HYPERLINK("https://eping.wto.org/en/Search?viewData= G/TBT/N/BDI/703, G/TBT/N/KEN/1967, G/TBT/N/RWA/1333, G/TBT/N/TZA/1483, G/TBT/N/UGA/2301"," G/TBT/N/BDI/703, G/TBT/N/KEN/1967, G/TBT/N/RWA/1333, G/TBT/N/TZA/1483, G/TBT/N/UGA/2301")</f>
        <v xml:space="preserve"> G/TBT/N/BDI/703, G/TBT/N/KEN/1967, G/TBT/N/RWA/1333, G/TBT/N/TZA/1483, G/TBT/N/UGA/2301</v>
      </c>
      <c r="D1327" s="8" t="s">
        <v>5074</v>
      </c>
      <c r="E1327" s="8" t="s">
        <v>5075</v>
      </c>
      <c r="F1327" s="8" t="s">
        <v>5076</v>
      </c>
      <c r="G1327" s="8" t="s">
        <v>5077</v>
      </c>
      <c r="H1327" s="8" t="s">
        <v>4990</v>
      </c>
      <c r="I1327" s="8" t="s">
        <v>4991</v>
      </c>
      <c r="J1327" s="8" t="s">
        <v>43</v>
      </c>
      <c r="K1327" s="8" t="s">
        <v>43</v>
      </c>
      <c r="L1327" s="6"/>
      <c r="M1327" s="7">
        <v>46089</v>
      </c>
      <c r="N1327" s="7" t="s">
        <v>79</v>
      </c>
      <c r="O1327" s="7" t="s">
        <v>79</v>
      </c>
      <c r="P1327" s="6" t="s">
        <v>62</v>
      </c>
      <c r="Q1327" s="8" t="s">
        <v>5078</v>
      </c>
      <c r="R1327" t="str">
        <f>HYPERLINK("https://docs.wto.org/imrd/directdoc.asp?DDFDocuments/t/G/TBTN26/BDI703.docx", "https://docs.wto.org/imrd/directdoc.asp?DDFDocuments/t/G/TBTN26/BDI703.docx")</f>
        <v>https://docs.wto.org/imrd/directdoc.asp?DDFDocuments/t/G/TBTN26/BDI703.docx</v>
      </c>
      <c r="S1327" t="str">
        <f>HYPERLINK("https://docs.wto.org/imrd/directdoc.asp?DDFDocuments/u/G/TBTN26/BDI703.docx", "https://docs.wto.org/imrd/directdoc.asp?DDFDocuments/u/G/TBTN26/BDI703.docx")</f>
        <v>https://docs.wto.org/imrd/directdoc.asp?DDFDocuments/u/G/TBTN26/BDI703.docx</v>
      </c>
      <c r="T1327" t="str">
        <f>HYPERLINK("https://docs.wto.org/imrd/directdoc.asp?DDFDocuments/v/G/TBTN26/BDI703.docx", "https://docs.wto.org/imrd/directdoc.asp?DDFDocuments/v/G/TBTN26/BDI703.docx")</f>
        <v>https://docs.wto.org/imrd/directdoc.asp?DDFDocuments/v/G/TBTN26/BDI703.docx</v>
      </c>
      <c r="U1327" t="s">
        <v>64</v>
      </c>
      <c r="V1327" t="s">
        <v>46</v>
      </c>
      <c r="W1327" t="s">
        <v>64</v>
      </c>
      <c r="X1327" t="s">
        <v>46</v>
      </c>
      <c r="Y1327" t="s">
        <v>46</v>
      </c>
      <c r="Z1327" t="s">
        <v>46</v>
      </c>
      <c r="AA1327" t="s">
        <v>46</v>
      </c>
      <c r="AB1327" s="2" t="s">
        <v>5079</v>
      </c>
      <c r="AC1327" t="s">
        <v>43</v>
      </c>
      <c r="AD1327" t="s">
        <v>43</v>
      </c>
      <c r="AE1327" t="s">
        <v>43</v>
      </c>
      <c r="AF1327" t="s">
        <v>43</v>
      </c>
      <c r="AG1327" t="s">
        <v>43</v>
      </c>
      <c r="AH1327" s="2" t="s">
        <v>43</v>
      </c>
    </row>
    <row r="1328" spans="1:34" ht="240">
      <c r="A1328" s="6" t="s">
        <v>892</v>
      </c>
      <c r="B1328" s="7">
        <v>46029</v>
      </c>
      <c r="C1328" s="9" t="str">
        <f>HYPERLINK("https://eping.wto.org/en/Search?viewData= G/TBT/N/PAN/153"," G/TBT/N/PAN/153")</f>
        <v xml:space="preserve"> G/TBT/N/PAN/153</v>
      </c>
      <c r="D1328" s="8" t="s">
        <v>5189</v>
      </c>
      <c r="E1328" s="8" t="s">
        <v>5190</v>
      </c>
      <c r="F1328" s="8" t="s">
        <v>5191</v>
      </c>
      <c r="G1328" s="8" t="s">
        <v>43</v>
      </c>
      <c r="H1328" s="8" t="s">
        <v>4882</v>
      </c>
      <c r="I1328" s="8" t="s">
        <v>1483</v>
      </c>
      <c r="J1328" s="8" t="s">
        <v>43</v>
      </c>
      <c r="K1328" s="8" t="s">
        <v>240</v>
      </c>
      <c r="L1328" s="6"/>
      <c r="M1328" s="7">
        <v>46089</v>
      </c>
      <c r="N1328" s="7" t="s">
        <v>79</v>
      </c>
      <c r="O1328" s="7" t="s">
        <v>79</v>
      </c>
      <c r="P1328" s="6" t="s">
        <v>62</v>
      </c>
      <c r="Q1328" s="8" t="s">
        <v>5192</v>
      </c>
      <c r="R1328" t="str">
        <f>HYPERLINK("https://docs.wto.org/imrd/directdoc.asp?DDFDocuments/t/G/TBTN26/PAN153.docx", "https://docs.wto.org/imrd/directdoc.asp?DDFDocuments/t/G/TBTN26/PAN153.docx")</f>
        <v>https://docs.wto.org/imrd/directdoc.asp?DDFDocuments/t/G/TBTN26/PAN153.docx</v>
      </c>
      <c r="S1328" t="str">
        <f>HYPERLINK("https://docs.wto.org/imrd/directdoc.asp?DDFDocuments/u/G/TBTN26/PAN153.docx", "https://docs.wto.org/imrd/directdoc.asp?DDFDocuments/u/G/TBTN26/PAN153.docx")</f>
        <v>https://docs.wto.org/imrd/directdoc.asp?DDFDocuments/u/G/TBTN26/PAN153.docx</v>
      </c>
      <c r="T1328" t="str">
        <f>HYPERLINK("https://docs.wto.org/imrd/directdoc.asp?DDFDocuments/v/G/TBTN26/PAN153.docx", "https://docs.wto.org/imrd/directdoc.asp?DDFDocuments/v/G/TBTN26/PAN153.docx")</f>
        <v>https://docs.wto.org/imrd/directdoc.asp?DDFDocuments/v/G/TBTN26/PAN153.docx</v>
      </c>
      <c r="U1328" t="s">
        <v>64</v>
      </c>
      <c r="V1328" t="s">
        <v>46</v>
      </c>
      <c r="W1328" t="s">
        <v>46</v>
      </c>
      <c r="X1328" t="s">
        <v>46</v>
      </c>
      <c r="Y1328" t="s">
        <v>46</v>
      </c>
      <c r="Z1328" t="s">
        <v>46</v>
      </c>
      <c r="AA1328" t="s">
        <v>46</v>
      </c>
      <c r="AB1328" s="2" t="s">
        <v>5161</v>
      </c>
      <c r="AC1328" t="s">
        <v>43</v>
      </c>
      <c r="AD1328" t="s">
        <v>43</v>
      </c>
      <c r="AE1328" t="s">
        <v>43</v>
      </c>
      <c r="AF1328" t="s">
        <v>43</v>
      </c>
      <c r="AG1328" t="s">
        <v>43</v>
      </c>
      <c r="AH1328" s="2" t="s">
        <v>43</v>
      </c>
    </row>
    <row r="1329" spans="1:34" ht="90">
      <c r="A1329" s="6" t="s">
        <v>124</v>
      </c>
      <c r="B1329" s="7">
        <v>46029</v>
      </c>
      <c r="C1329" s="9" t="str">
        <f>HYPERLINK("https://eping.wto.org/en/Search?viewData= G/TBT/N/BDI/704, G/TBT/N/KEN/1968, G/TBT/N/RWA/1334, G/TBT/N/TZA/1484, G/TBT/N/UGA/2302"," G/TBT/N/BDI/704, G/TBT/N/KEN/1968, G/TBT/N/RWA/1334, G/TBT/N/TZA/1484, G/TBT/N/UGA/2302")</f>
        <v xml:space="preserve"> G/TBT/N/BDI/704, G/TBT/N/KEN/1968, G/TBT/N/RWA/1334, G/TBT/N/TZA/1484, G/TBT/N/UGA/2302</v>
      </c>
      <c r="D1329" s="8" t="s">
        <v>5168</v>
      </c>
      <c r="E1329" s="8" t="s">
        <v>5169</v>
      </c>
      <c r="F1329" s="8" t="s">
        <v>5170</v>
      </c>
      <c r="G1329" s="8" t="s">
        <v>5171</v>
      </c>
      <c r="H1329" s="8" t="s">
        <v>4990</v>
      </c>
      <c r="I1329" s="8" t="s">
        <v>4991</v>
      </c>
      <c r="J1329" s="8" t="s">
        <v>43</v>
      </c>
      <c r="K1329" s="8" t="s">
        <v>43</v>
      </c>
      <c r="L1329" s="6"/>
      <c r="M1329" s="7">
        <v>46089</v>
      </c>
      <c r="N1329" s="7" t="s">
        <v>79</v>
      </c>
      <c r="O1329" s="7" t="s">
        <v>79</v>
      </c>
      <c r="P1329" s="6" t="s">
        <v>62</v>
      </c>
      <c r="Q1329" s="8" t="s">
        <v>5172</v>
      </c>
      <c r="R1329" t="str">
        <f>HYPERLINK("https://docs.wto.org/imrd/directdoc.asp?DDFDocuments/t/G/TBTN26/BDI704.docx", "https://docs.wto.org/imrd/directdoc.asp?DDFDocuments/t/G/TBTN26/BDI704.docx")</f>
        <v>https://docs.wto.org/imrd/directdoc.asp?DDFDocuments/t/G/TBTN26/BDI704.docx</v>
      </c>
      <c r="S1329" t="str">
        <f>HYPERLINK("https://docs.wto.org/imrd/directdoc.asp?DDFDocuments/u/G/TBTN26/BDI704.docx", "https://docs.wto.org/imrd/directdoc.asp?DDFDocuments/u/G/TBTN26/BDI704.docx")</f>
        <v>https://docs.wto.org/imrd/directdoc.asp?DDFDocuments/u/G/TBTN26/BDI704.docx</v>
      </c>
      <c r="T1329" t="str">
        <f>HYPERLINK("https://docs.wto.org/imrd/directdoc.asp?DDFDocuments/v/G/TBTN26/BDI704.docx", "https://docs.wto.org/imrd/directdoc.asp?DDFDocuments/v/G/TBTN26/BDI704.docx")</f>
        <v>https://docs.wto.org/imrd/directdoc.asp?DDFDocuments/v/G/TBTN26/BDI704.docx</v>
      </c>
      <c r="U1329" t="s">
        <v>64</v>
      </c>
      <c r="V1329" t="s">
        <v>46</v>
      </c>
      <c r="W1329" t="s">
        <v>64</v>
      </c>
      <c r="X1329" t="s">
        <v>46</v>
      </c>
      <c r="Y1329" t="s">
        <v>46</v>
      </c>
      <c r="Z1329" t="s">
        <v>46</v>
      </c>
      <c r="AA1329" t="s">
        <v>46</v>
      </c>
      <c r="AB1329" s="2" t="s">
        <v>5173</v>
      </c>
      <c r="AC1329" t="s">
        <v>43</v>
      </c>
      <c r="AD1329" t="s">
        <v>43</v>
      </c>
      <c r="AE1329" t="s">
        <v>43</v>
      </c>
      <c r="AF1329" t="s">
        <v>43</v>
      </c>
      <c r="AG1329" t="s">
        <v>43</v>
      </c>
      <c r="AH1329" s="2" t="s">
        <v>43</v>
      </c>
    </row>
    <row r="1330" spans="1:34" ht="90">
      <c r="A1330" s="6" t="s">
        <v>108</v>
      </c>
      <c r="B1330" s="7">
        <v>46029</v>
      </c>
      <c r="C1330" s="9" t="str">
        <f>HYPERLINK("https://eping.wto.org/en/Search?viewData= G/TBT/N/BDI/704, G/TBT/N/KEN/1968, G/TBT/N/RWA/1334, G/TBT/N/TZA/1484, G/TBT/N/UGA/2302"," G/TBT/N/BDI/704, G/TBT/N/KEN/1968, G/TBT/N/RWA/1334, G/TBT/N/TZA/1484, G/TBT/N/UGA/2302")</f>
        <v xml:space="preserve"> G/TBT/N/BDI/704, G/TBT/N/KEN/1968, G/TBT/N/RWA/1334, G/TBT/N/TZA/1484, G/TBT/N/UGA/2302</v>
      </c>
      <c r="D1330" s="8" t="s">
        <v>5168</v>
      </c>
      <c r="E1330" s="8" t="s">
        <v>5169</v>
      </c>
      <c r="F1330" s="8" t="s">
        <v>5170</v>
      </c>
      <c r="G1330" s="8" t="s">
        <v>5171</v>
      </c>
      <c r="H1330" s="8" t="s">
        <v>4990</v>
      </c>
      <c r="I1330" s="8" t="s">
        <v>4991</v>
      </c>
      <c r="J1330" s="8" t="s">
        <v>43</v>
      </c>
      <c r="K1330" s="8" t="s">
        <v>43</v>
      </c>
      <c r="L1330" s="6"/>
      <c r="M1330" s="7">
        <v>46089</v>
      </c>
      <c r="N1330" s="7" t="s">
        <v>79</v>
      </c>
      <c r="O1330" s="7" t="s">
        <v>79</v>
      </c>
      <c r="P1330" s="6" t="s">
        <v>62</v>
      </c>
      <c r="Q1330" s="8" t="s">
        <v>5172</v>
      </c>
      <c r="R1330" t="str">
        <f>HYPERLINK("https://docs.wto.org/imrd/directdoc.asp?DDFDocuments/t/G/TBTN26/BDI704.docx", "https://docs.wto.org/imrd/directdoc.asp?DDFDocuments/t/G/TBTN26/BDI704.docx")</f>
        <v>https://docs.wto.org/imrd/directdoc.asp?DDFDocuments/t/G/TBTN26/BDI704.docx</v>
      </c>
      <c r="S1330" t="str">
        <f>HYPERLINK("https://docs.wto.org/imrd/directdoc.asp?DDFDocuments/u/G/TBTN26/BDI704.docx", "https://docs.wto.org/imrd/directdoc.asp?DDFDocuments/u/G/TBTN26/BDI704.docx")</f>
        <v>https://docs.wto.org/imrd/directdoc.asp?DDFDocuments/u/G/TBTN26/BDI704.docx</v>
      </c>
      <c r="T1330" t="str">
        <f>HYPERLINK("https://docs.wto.org/imrd/directdoc.asp?DDFDocuments/v/G/TBTN26/BDI704.docx", "https://docs.wto.org/imrd/directdoc.asp?DDFDocuments/v/G/TBTN26/BDI704.docx")</f>
        <v>https://docs.wto.org/imrd/directdoc.asp?DDFDocuments/v/G/TBTN26/BDI704.docx</v>
      </c>
      <c r="U1330" t="s">
        <v>64</v>
      </c>
      <c r="V1330" t="s">
        <v>46</v>
      </c>
      <c r="W1330" t="s">
        <v>64</v>
      </c>
      <c r="X1330" t="s">
        <v>46</v>
      </c>
      <c r="Y1330" t="s">
        <v>46</v>
      </c>
      <c r="Z1330" t="s">
        <v>46</v>
      </c>
      <c r="AA1330" t="s">
        <v>46</v>
      </c>
      <c r="AB1330" s="2" t="s">
        <v>5173</v>
      </c>
      <c r="AC1330" t="s">
        <v>43</v>
      </c>
      <c r="AD1330" t="s">
        <v>43</v>
      </c>
      <c r="AE1330" t="s">
        <v>43</v>
      </c>
      <c r="AF1330" t="s">
        <v>43</v>
      </c>
      <c r="AG1330" t="s">
        <v>43</v>
      </c>
      <c r="AH1330" s="2" t="s">
        <v>43</v>
      </c>
    </row>
    <row r="1331" spans="1:34" ht="45">
      <c r="A1331" s="6" t="s">
        <v>108</v>
      </c>
      <c r="B1331" s="7">
        <v>46029</v>
      </c>
      <c r="C1331" s="9" t="str">
        <f>HYPERLINK("https://eping.wto.org/en/Search?viewData= G/TBT/N/BDI/702, G/TBT/N/KEN/1966, G/TBT/N/RWA/1332, G/TBT/N/TZA/1482, G/TBT/N/UGA/2300"," G/TBT/N/BDI/702, G/TBT/N/KEN/1966, G/TBT/N/RWA/1332, G/TBT/N/TZA/1482, G/TBT/N/UGA/2300")</f>
        <v xml:space="preserve"> G/TBT/N/BDI/702, G/TBT/N/KEN/1966, G/TBT/N/RWA/1332, G/TBT/N/TZA/1482, G/TBT/N/UGA/2300</v>
      </c>
      <c r="D1331" s="8" t="s">
        <v>4986</v>
      </c>
      <c r="E1331" s="8" t="s">
        <v>4987</v>
      </c>
      <c r="F1331" s="8" t="s">
        <v>4988</v>
      </c>
      <c r="G1331" s="8" t="s">
        <v>4989</v>
      </c>
      <c r="H1331" s="8" t="s">
        <v>4990</v>
      </c>
      <c r="I1331" s="8" t="s">
        <v>4991</v>
      </c>
      <c r="J1331" s="8" t="s">
        <v>43</v>
      </c>
      <c r="K1331" s="8" t="s">
        <v>43</v>
      </c>
      <c r="L1331" s="6"/>
      <c r="M1331" s="7">
        <v>46089</v>
      </c>
      <c r="N1331" s="7" t="s">
        <v>79</v>
      </c>
      <c r="O1331" s="7" t="s">
        <v>79</v>
      </c>
      <c r="P1331" s="6" t="s">
        <v>62</v>
      </c>
      <c r="Q1331" s="8" t="s">
        <v>4992</v>
      </c>
      <c r="R1331" t="str">
        <f>HYPERLINK("https://docs.wto.org/imrd/directdoc.asp?DDFDocuments/t/G/TBTN26/BDI702.docx", "https://docs.wto.org/imrd/directdoc.asp?DDFDocuments/t/G/TBTN26/BDI702.docx")</f>
        <v>https://docs.wto.org/imrd/directdoc.asp?DDFDocuments/t/G/TBTN26/BDI702.docx</v>
      </c>
      <c r="S1331" t="str">
        <f>HYPERLINK("https://docs.wto.org/imrd/directdoc.asp?DDFDocuments/u/G/TBTN26/BDI702.docx", "https://docs.wto.org/imrd/directdoc.asp?DDFDocuments/u/G/TBTN26/BDI702.docx")</f>
        <v>https://docs.wto.org/imrd/directdoc.asp?DDFDocuments/u/G/TBTN26/BDI702.docx</v>
      </c>
      <c r="T1331" t="str">
        <f>HYPERLINK("https://docs.wto.org/imrd/directdoc.asp?DDFDocuments/v/G/TBTN26/BDI702.docx", "https://docs.wto.org/imrd/directdoc.asp?DDFDocuments/v/G/TBTN26/BDI702.docx")</f>
        <v>https://docs.wto.org/imrd/directdoc.asp?DDFDocuments/v/G/TBTN26/BDI702.docx</v>
      </c>
      <c r="U1331" t="s">
        <v>64</v>
      </c>
      <c r="V1331" t="s">
        <v>46</v>
      </c>
      <c r="W1331" t="s">
        <v>64</v>
      </c>
      <c r="X1331" t="s">
        <v>46</v>
      </c>
      <c r="Y1331" t="s">
        <v>46</v>
      </c>
      <c r="Z1331" t="s">
        <v>46</v>
      </c>
      <c r="AA1331" t="s">
        <v>46</v>
      </c>
      <c r="AB1331" s="2" t="s">
        <v>4993</v>
      </c>
      <c r="AC1331" t="s">
        <v>43</v>
      </c>
      <c r="AD1331" t="s">
        <v>43</v>
      </c>
      <c r="AE1331" t="s">
        <v>43</v>
      </c>
      <c r="AF1331" t="s">
        <v>43</v>
      </c>
      <c r="AG1331" t="s">
        <v>43</v>
      </c>
      <c r="AH1331" s="2" t="s">
        <v>43</v>
      </c>
    </row>
    <row r="1332" spans="1:34" ht="45">
      <c r="A1332" s="6" t="s">
        <v>509</v>
      </c>
      <c r="B1332" s="7">
        <v>46029</v>
      </c>
      <c r="C1332" s="9" t="str">
        <f>HYPERLINK("https://eping.wto.org/en/Search?viewData= G/TBT/N/BDI/702, G/TBT/N/KEN/1966, G/TBT/N/RWA/1332, G/TBT/N/TZA/1482, G/TBT/N/UGA/2300"," G/TBT/N/BDI/702, G/TBT/N/KEN/1966, G/TBT/N/RWA/1332, G/TBT/N/TZA/1482, G/TBT/N/UGA/2300")</f>
        <v xml:space="preserve"> G/TBT/N/BDI/702, G/TBT/N/KEN/1966, G/TBT/N/RWA/1332, G/TBT/N/TZA/1482, G/TBT/N/UGA/2300</v>
      </c>
      <c r="D1332" s="8" t="s">
        <v>4986</v>
      </c>
      <c r="E1332" s="8" t="s">
        <v>4987</v>
      </c>
      <c r="F1332" s="8" t="s">
        <v>4988</v>
      </c>
      <c r="G1332" s="8" t="s">
        <v>4989</v>
      </c>
      <c r="H1332" s="8" t="s">
        <v>4990</v>
      </c>
      <c r="I1332" s="8" t="s">
        <v>4991</v>
      </c>
      <c r="J1332" s="8" t="s">
        <v>43</v>
      </c>
      <c r="K1332" s="8" t="s">
        <v>43</v>
      </c>
      <c r="L1332" s="6"/>
      <c r="M1332" s="7">
        <v>46089</v>
      </c>
      <c r="N1332" s="7" t="s">
        <v>79</v>
      </c>
      <c r="O1332" s="7" t="s">
        <v>79</v>
      </c>
      <c r="P1332" s="6" t="s">
        <v>62</v>
      </c>
      <c r="Q1332" s="8" t="s">
        <v>4992</v>
      </c>
      <c r="R1332" t="str">
        <f>HYPERLINK("https://docs.wto.org/imrd/directdoc.asp?DDFDocuments/t/G/TBTN26/BDI702.docx", "https://docs.wto.org/imrd/directdoc.asp?DDFDocuments/t/G/TBTN26/BDI702.docx")</f>
        <v>https://docs.wto.org/imrd/directdoc.asp?DDFDocuments/t/G/TBTN26/BDI702.docx</v>
      </c>
      <c r="S1332" t="str">
        <f>HYPERLINK("https://docs.wto.org/imrd/directdoc.asp?DDFDocuments/u/G/TBTN26/BDI702.docx", "https://docs.wto.org/imrd/directdoc.asp?DDFDocuments/u/G/TBTN26/BDI702.docx")</f>
        <v>https://docs.wto.org/imrd/directdoc.asp?DDFDocuments/u/G/TBTN26/BDI702.docx</v>
      </c>
      <c r="T1332" t="str">
        <f>HYPERLINK("https://docs.wto.org/imrd/directdoc.asp?DDFDocuments/v/G/TBTN26/BDI702.docx", "https://docs.wto.org/imrd/directdoc.asp?DDFDocuments/v/G/TBTN26/BDI702.docx")</f>
        <v>https://docs.wto.org/imrd/directdoc.asp?DDFDocuments/v/G/TBTN26/BDI702.docx</v>
      </c>
      <c r="U1332" t="s">
        <v>64</v>
      </c>
      <c r="V1332" t="s">
        <v>46</v>
      </c>
      <c r="W1332" t="s">
        <v>64</v>
      </c>
      <c r="X1332" t="s">
        <v>46</v>
      </c>
      <c r="Y1332" t="s">
        <v>46</v>
      </c>
      <c r="Z1332" t="s">
        <v>46</v>
      </c>
      <c r="AA1332" t="s">
        <v>46</v>
      </c>
      <c r="AB1332" s="2" t="s">
        <v>4993</v>
      </c>
      <c r="AC1332" t="s">
        <v>43</v>
      </c>
      <c r="AD1332" t="s">
        <v>43</v>
      </c>
      <c r="AE1332" t="s">
        <v>43</v>
      </c>
      <c r="AF1332" t="s">
        <v>43</v>
      </c>
      <c r="AG1332" t="s">
        <v>43</v>
      </c>
      <c r="AH1332" s="2" t="s">
        <v>43</v>
      </c>
    </row>
    <row r="1333" spans="1:34" ht="210">
      <c r="A1333" s="6" t="s">
        <v>1917</v>
      </c>
      <c r="B1333" s="7">
        <v>46029</v>
      </c>
      <c r="C1333" s="9" t="str">
        <f>HYPERLINK("https://eping.wto.org/en/Search?viewData= G/TBT/N/EGY/3/Add.98"," G/TBT/N/EGY/3/Add.98")</f>
        <v xml:space="preserve"> G/TBT/N/EGY/3/Add.98</v>
      </c>
      <c r="D1333" s="8" t="s">
        <v>5193</v>
      </c>
      <c r="E1333" s="8" t="s">
        <v>5194</v>
      </c>
      <c r="F1333" s="8" t="s">
        <v>5015</v>
      </c>
      <c r="G1333" s="8" t="s">
        <v>43</v>
      </c>
      <c r="H1333" s="8" t="s">
        <v>5016</v>
      </c>
      <c r="I1333" s="8" t="s">
        <v>43</v>
      </c>
      <c r="J1333" s="8"/>
      <c r="K1333" s="8" t="s">
        <v>43</v>
      </c>
      <c r="L1333" s="6"/>
      <c r="M1333" s="7" t="s">
        <v>43</v>
      </c>
      <c r="N1333" s="7"/>
      <c r="O1333" s="7"/>
      <c r="P1333" s="6" t="s">
        <v>44</v>
      </c>
      <c r="Q1333" s="6"/>
      <c r="R1333" t="str">
        <f>HYPERLINK("https://docs.wto.org/imrd/directdoc.asp?DDFDocuments/t/G/TBTN05/EGY3A98.docx", "https://docs.wto.org/imrd/directdoc.asp?DDFDocuments/t/G/TBTN05/EGY3A98.docx")</f>
        <v>https://docs.wto.org/imrd/directdoc.asp?DDFDocuments/t/G/TBTN05/EGY3A98.docx</v>
      </c>
      <c r="S1333" t="str">
        <f>HYPERLINK("https://docs.wto.org/imrd/directdoc.asp?DDFDocuments/u/G/TBTN05/EGY3A98.docx", "https://docs.wto.org/imrd/directdoc.asp?DDFDocuments/u/G/TBTN05/EGY3A98.docx")</f>
        <v>https://docs.wto.org/imrd/directdoc.asp?DDFDocuments/u/G/TBTN05/EGY3A98.docx</v>
      </c>
      <c r="T1333" t="str">
        <f>HYPERLINK("https://docs.wto.org/imrd/directdoc.asp?DDFDocuments/v/G/TBTN05/EGY3A98.docx", "https://docs.wto.org/imrd/directdoc.asp?DDFDocuments/v/G/TBTN05/EGY3A98.docx")</f>
        <v>https://docs.wto.org/imrd/directdoc.asp?DDFDocuments/v/G/TBTN05/EGY3A98.docx</v>
      </c>
      <c r="U1333" t="s">
        <v>64</v>
      </c>
      <c r="V1333" t="s">
        <v>46</v>
      </c>
      <c r="W1333" t="s">
        <v>46</v>
      </c>
      <c r="X1333" t="s">
        <v>46</v>
      </c>
      <c r="Y1333" t="s">
        <v>46</v>
      </c>
      <c r="Z1333" t="s">
        <v>46</v>
      </c>
      <c r="AA1333" t="s">
        <v>46</v>
      </c>
      <c r="AB1333" s="2" t="s">
        <v>43</v>
      </c>
      <c r="AC1333" t="s">
        <v>43</v>
      </c>
      <c r="AD1333" t="s">
        <v>43</v>
      </c>
      <c r="AE1333" t="s">
        <v>43</v>
      </c>
      <c r="AF1333" t="s">
        <v>43</v>
      </c>
      <c r="AG1333" t="s">
        <v>43</v>
      </c>
      <c r="AH1333" s="2" t="s">
        <v>43</v>
      </c>
    </row>
    <row r="1334" spans="1:34" ht="135">
      <c r="A1334" s="6" t="s">
        <v>82</v>
      </c>
      <c r="B1334" s="7">
        <v>46029</v>
      </c>
      <c r="C1334" s="9" t="str">
        <f>HYPERLINK("https://eping.wto.org/en/Search?viewData= G/TBT/N/JPN/895"," G/TBT/N/JPN/895")</f>
        <v xml:space="preserve"> G/TBT/N/JPN/895</v>
      </c>
      <c r="D1334" s="8" t="s">
        <v>5195</v>
      </c>
      <c r="E1334" s="8" t="s">
        <v>5196</v>
      </c>
      <c r="F1334" s="8" t="s">
        <v>5197</v>
      </c>
      <c r="G1334" s="8" t="s">
        <v>5198</v>
      </c>
      <c r="H1334" s="8" t="s">
        <v>43</v>
      </c>
      <c r="I1334" s="8" t="s">
        <v>52</v>
      </c>
      <c r="J1334" s="8" t="s">
        <v>5199</v>
      </c>
      <c r="K1334" s="8" t="s">
        <v>43</v>
      </c>
      <c r="L1334" s="6"/>
      <c r="M1334" s="7">
        <v>46089</v>
      </c>
      <c r="N1334" s="7" t="s">
        <v>2423</v>
      </c>
      <c r="O1334" s="7" t="s">
        <v>2479</v>
      </c>
      <c r="P1334" s="6" t="s">
        <v>62</v>
      </c>
      <c r="Q1334" s="8" t="s">
        <v>5200</v>
      </c>
      <c r="R1334" t="str">
        <f>HYPERLINK("https://docs.wto.org/imrd/directdoc.asp?DDFDocuments/t/G/TBTN26/JPN895.docx", "https://docs.wto.org/imrd/directdoc.asp?DDFDocuments/t/G/TBTN26/JPN895.docx")</f>
        <v>https://docs.wto.org/imrd/directdoc.asp?DDFDocuments/t/G/TBTN26/JPN895.docx</v>
      </c>
      <c r="S1334" t="str">
        <f>HYPERLINK("https://docs.wto.org/imrd/directdoc.asp?DDFDocuments/u/G/TBTN26/JPN895.docx", "https://docs.wto.org/imrd/directdoc.asp?DDFDocuments/u/G/TBTN26/JPN895.docx")</f>
        <v>https://docs.wto.org/imrd/directdoc.asp?DDFDocuments/u/G/TBTN26/JPN895.docx</v>
      </c>
      <c r="T1334" t="str">
        <f>HYPERLINK("https://docs.wto.org/imrd/directdoc.asp?DDFDocuments/v/G/TBTN26/JPN895.docx", "https://docs.wto.org/imrd/directdoc.asp?DDFDocuments/v/G/TBTN26/JPN895.docx")</f>
        <v>https://docs.wto.org/imrd/directdoc.asp?DDFDocuments/v/G/TBTN26/JPN895.docx</v>
      </c>
      <c r="U1334" t="s">
        <v>64</v>
      </c>
      <c r="V1334" t="s">
        <v>46</v>
      </c>
      <c r="W1334" t="s">
        <v>46</v>
      </c>
      <c r="X1334" t="s">
        <v>46</v>
      </c>
      <c r="Y1334" t="s">
        <v>46</v>
      </c>
      <c r="Z1334" t="s">
        <v>46</v>
      </c>
      <c r="AA1334" t="s">
        <v>46</v>
      </c>
      <c r="AB1334" s="2" t="s">
        <v>5201</v>
      </c>
      <c r="AC1334" t="s">
        <v>43</v>
      </c>
      <c r="AD1334" t="s">
        <v>43</v>
      </c>
      <c r="AE1334" t="s">
        <v>43</v>
      </c>
      <c r="AF1334" t="s">
        <v>43</v>
      </c>
      <c r="AG1334" t="s">
        <v>43</v>
      </c>
      <c r="AH1334" s="2" t="s">
        <v>43</v>
      </c>
    </row>
    <row r="1335" spans="1:34" ht="90">
      <c r="A1335" s="6" t="s">
        <v>96</v>
      </c>
      <c r="B1335" s="7">
        <v>46029</v>
      </c>
      <c r="C1335" s="9" t="str">
        <f>HYPERLINK("https://eping.wto.org/en/Search?viewData= G/TBT/N/ISR/1337/Add.1"," G/TBT/N/ISR/1337/Add.1")</f>
        <v xml:space="preserve"> G/TBT/N/ISR/1337/Add.1</v>
      </c>
      <c r="D1335" s="8" t="s">
        <v>5202</v>
      </c>
      <c r="E1335" s="8" t="s">
        <v>5203</v>
      </c>
      <c r="F1335" s="8" t="s">
        <v>4967</v>
      </c>
      <c r="G1335" s="8" t="s">
        <v>4968</v>
      </c>
      <c r="H1335" s="8" t="s">
        <v>4969</v>
      </c>
      <c r="I1335" s="8" t="s">
        <v>2921</v>
      </c>
      <c r="J1335" s="8" t="s">
        <v>43</v>
      </c>
      <c r="K1335" s="8" t="s">
        <v>43</v>
      </c>
      <c r="L1335" s="6"/>
      <c r="M1335" s="7" t="s">
        <v>43</v>
      </c>
      <c r="N1335" s="7"/>
      <c r="O1335" s="7"/>
      <c r="P1335" s="6" t="s">
        <v>44</v>
      </c>
      <c r="Q1335" s="8" t="s">
        <v>5204</v>
      </c>
      <c r="R1335" t="str">
        <f>HYPERLINK("https://docs.wto.org/imrd/directdoc.asp?DDFDocuments/t/G/TBTN24/ISR1337A1.docx", "https://docs.wto.org/imrd/directdoc.asp?DDFDocuments/t/G/TBTN24/ISR1337A1.docx")</f>
        <v>https://docs.wto.org/imrd/directdoc.asp?DDFDocuments/t/G/TBTN24/ISR1337A1.docx</v>
      </c>
      <c r="S1335" t="str">
        <f>HYPERLINK("https://docs.wto.org/imrd/directdoc.asp?DDFDocuments/u/G/TBTN24/ISR1337A1.docx", "https://docs.wto.org/imrd/directdoc.asp?DDFDocuments/u/G/TBTN24/ISR1337A1.docx")</f>
        <v>https://docs.wto.org/imrd/directdoc.asp?DDFDocuments/u/G/TBTN24/ISR1337A1.docx</v>
      </c>
      <c r="T1335" t="str">
        <f>HYPERLINK("https://docs.wto.org/imrd/directdoc.asp?DDFDocuments/v/G/TBTN24/ISR1337A1.docx", "https://docs.wto.org/imrd/directdoc.asp?DDFDocuments/v/G/TBTN24/ISR1337A1.docx")</f>
        <v>https://docs.wto.org/imrd/directdoc.asp?DDFDocuments/v/G/TBTN24/ISR1337A1.docx</v>
      </c>
      <c r="U1335" t="s">
        <v>64</v>
      </c>
      <c r="V1335" t="s">
        <v>46</v>
      </c>
      <c r="W1335" t="s">
        <v>46</v>
      </c>
      <c r="X1335" t="s">
        <v>46</v>
      </c>
      <c r="Y1335" t="s">
        <v>46</v>
      </c>
      <c r="Z1335" t="s">
        <v>46</v>
      </c>
      <c r="AA1335" t="s">
        <v>46</v>
      </c>
      <c r="AB1335" s="2" t="s">
        <v>43</v>
      </c>
      <c r="AC1335" t="s">
        <v>43</v>
      </c>
      <c r="AD1335" t="s">
        <v>43</v>
      </c>
      <c r="AE1335" t="s">
        <v>43</v>
      </c>
      <c r="AF1335" t="s">
        <v>43</v>
      </c>
      <c r="AG1335" t="s">
        <v>43</v>
      </c>
      <c r="AH1335" s="2" t="s">
        <v>43</v>
      </c>
    </row>
    <row r="1336" spans="1:34" ht="255">
      <c r="A1336" s="6" t="s">
        <v>47</v>
      </c>
      <c r="B1336" s="7">
        <v>46029</v>
      </c>
      <c r="C1336" s="9" t="str">
        <f>HYPERLINK("https://eping.wto.org/en/Search?viewData= G/TBT/N/CAN/722/Add.1"," G/TBT/N/CAN/722/Add.1")</f>
        <v xml:space="preserve"> G/TBT/N/CAN/722/Add.1</v>
      </c>
      <c r="D1336" s="8" t="s">
        <v>5205</v>
      </c>
      <c r="E1336" s="8" t="s">
        <v>5206</v>
      </c>
      <c r="F1336" s="8" t="s">
        <v>5207</v>
      </c>
      <c r="G1336" s="8" t="s">
        <v>5208</v>
      </c>
      <c r="H1336" s="8" t="s">
        <v>5209</v>
      </c>
      <c r="I1336" s="8" t="s">
        <v>52</v>
      </c>
      <c r="J1336" s="8" t="s">
        <v>5210</v>
      </c>
      <c r="K1336" s="8" t="s">
        <v>43</v>
      </c>
      <c r="L1336" s="6"/>
      <c r="M1336" s="7">
        <v>46093</v>
      </c>
      <c r="N1336" s="7"/>
      <c r="O1336" s="7"/>
      <c r="P1336" s="6" t="s">
        <v>44</v>
      </c>
      <c r="Q1336" s="6"/>
      <c r="R1336" t="str">
        <f>HYPERLINK("https://docs.wto.org/imrd/directdoc.asp?DDFDocuments/t/G/TBTN24/CAN722A1.docx", "https://docs.wto.org/imrd/directdoc.asp?DDFDocuments/t/G/TBTN24/CAN722A1.docx")</f>
        <v>https://docs.wto.org/imrd/directdoc.asp?DDFDocuments/t/G/TBTN24/CAN722A1.docx</v>
      </c>
      <c r="S1336" t="str">
        <f>HYPERLINK("https://docs.wto.org/imrd/directdoc.asp?DDFDocuments/u/G/TBTN24/CAN722A1.docx", "https://docs.wto.org/imrd/directdoc.asp?DDFDocuments/u/G/TBTN24/CAN722A1.docx")</f>
        <v>https://docs.wto.org/imrd/directdoc.asp?DDFDocuments/u/G/TBTN24/CAN722A1.docx</v>
      </c>
      <c r="T1336" t="str">
        <f>HYPERLINK("https://docs.wto.org/imrd/directdoc.asp?DDFDocuments/v/G/TBTN24/CAN722A1.docx", "https://docs.wto.org/imrd/directdoc.asp?DDFDocuments/v/G/TBTN24/CAN722A1.docx")</f>
        <v>https://docs.wto.org/imrd/directdoc.asp?DDFDocuments/v/G/TBTN24/CAN722A1.docx</v>
      </c>
      <c r="U1336" t="s">
        <v>64</v>
      </c>
      <c r="V1336" t="s">
        <v>46</v>
      </c>
      <c r="W1336" t="s">
        <v>46</v>
      </c>
      <c r="X1336" t="s">
        <v>46</v>
      </c>
      <c r="Y1336" t="s">
        <v>46</v>
      </c>
      <c r="Z1336" t="s">
        <v>46</v>
      </c>
      <c r="AA1336" t="s">
        <v>46</v>
      </c>
      <c r="AB1336" s="2" t="s">
        <v>43</v>
      </c>
      <c r="AC1336" t="s">
        <v>43</v>
      </c>
      <c r="AD1336" t="s">
        <v>43</v>
      </c>
      <c r="AE1336" t="s">
        <v>43</v>
      </c>
      <c r="AF1336" t="s">
        <v>43</v>
      </c>
      <c r="AG1336" t="s">
        <v>43</v>
      </c>
      <c r="AH1336" s="2" t="s">
        <v>43</v>
      </c>
    </row>
    <row r="1337" spans="1:34" ht="225">
      <c r="A1337" s="6" t="s">
        <v>892</v>
      </c>
      <c r="B1337" s="7">
        <v>46029</v>
      </c>
      <c r="C1337" s="9" t="str">
        <f>HYPERLINK("https://eping.wto.org/en/Search?viewData= G/TBT/N/PAN/145"," G/TBT/N/PAN/145")</f>
        <v xml:space="preserve"> G/TBT/N/PAN/145</v>
      </c>
      <c r="D1337" s="8" t="s">
        <v>5211</v>
      </c>
      <c r="E1337" s="8" t="s">
        <v>5212</v>
      </c>
      <c r="F1337" s="8" t="s">
        <v>4978</v>
      </c>
      <c r="G1337" s="8" t="s">
        <v>43</v>
      </c>
      <c r="H1337" s="8" t="s">
        <v>4877</v>
      </c>
      <c r="I1337" s="8" t="s">
        <v>1483</v>
      </c>
      <c r="J1337" s="8" t="s">
        <v>43</v>
      </c>
      <c r="K1337" s="8" t="s">
        <v>240</v>
      </c>
      <c r="L1337" s="6"/>
      <c r="M1337" s="7">
        <v>46089</v>
      </c>
      <c r="N1337" s="7" t="s">
        <v>79</v>
      </c>
      <c r="O1337" s="7" t="s">
        <v>79</v>
      </c>
      <c r="P1337" s="6" t="s">
        <v>62</v>
      </c>
      <c r="Q1337" s="8" t="s">
        <v>5213</v>
      </c>
      <c r="R1337" t="str">
        <f>HYPERLINK("https://docs.wto.org/imrd/directdoc.asp?DDFDocuments/t/G/TBTN26/PAN145.docx", "https://docs.wto.org/imrd/directdoc.asp?DDFDocuments/t/G/TBTN26/PAN145.docx")</f>
        <v>https://docs.wto.org/imrd/directdoc.asp?DDFDocuments/t/G/TBTN26/PAN145.docx</v>
      </c>
      <c r="S1337" t="str">
        <f>HYPERLINK("https://docs.wto.org/imrd/directdoc.asp?DDFDocuments/u/G/TBTN26/PAN145.docx", "https://docs.wto.org/imrd/directdoc.asp?DDFDocuments/u/G/TBTN26/PAN145.docx")</f>
        <v>https://docs.wto.org/imrd/directdoc.asp?DDFDocuments/u/G/TBTN26/PAN145.docx</v>
      </c>
      <c r="T1337" t="str">
        <f>HYPERLINK("https://docs.wto.org/imrd/directdoc.asp?DDFDocuments/v/G/TBTN26/PAN145.docx", "https://docs.wto.org/imrd/directdoc.asp?DDFDocuments/v/G/TBTN26/PAN145.docx")</f>
        <v>https://docs.wto.org/imrd/directdoc.asp?DDFDocuments/v/G/TBTN26/PAN145.docx</v>
      </c>
      <c r="U1337" t="s">
        <v>64</v>
      </c>
      <c r="V1337" t="s">
        <v>46</v>
      </c>
      <c r="W1337" t="s">
        <v>46</v>
      </c>
      <c r="X1337" t="s">
        <v>46</v>
      </c>
      <c r="Y1337" t="s">
        <v>46</v>
      </c>
      <c r="Z1337" t="s">
        <v>46</v>
      </c>
      <c r="AA1337" t="s">
        <v>46</v>
      </c>
      <c r="AB1337" s="2" t="s">
        <v>5214</v>
      </c>
      <c r="AC1337" t="s">
        <v>43</v>
      </c>
      <c r="AD1337" t="s">
        <v>43</v>
      </c>
      <c r="AE1337" t="s">
        <v>43</v>
      </c>
      <c r="AF1337" t="s">
        <v>43</v>
      </c>
      <c r="AG1337" t="s">
        <v>43</v>
      </c>
      <c r="AH1337" s="2" t="s">
        <v>43</v>
      </c>
    </row>
    <row r="1338" spans="1:34" ht="225">
      <c r="A1338" s="6" t="s">
        <v>892</v>
      </c>
      <c r="B1338" s="7">
        <v>46029</v>
      </c>
      <c r="C1338" s="9" t="str">
        <f>HYPERLINK("https://eping.wto.org/en/Search?viewData= G/TBT/N/PAN/147"," G/TBT/N/PAN/147")</f>
        <v xml:space="preserve"> G/TBT/N/PAN/147</v>
      </c>
      <c r="D1338" s="8" t="s">
        <v>5215</v>
      </c>
      <c r="E1338" s="8" t="s">
        <v>5216</v>
      </c>
      <c r="F1338" s="8" t="s">
        <v>4978</v>
      </c>
      <c r="G1338" s="8" t="s">
        <v>43</v>
      </c>
      <c r="H1338" s="8" t="s">
        <v>4877</v>
      </c>
      <c r="I1338" s="8" t="s">
        <v>1483</v>
      </c>
      <c r="J1338" s="8" t="s">
        <v>43</v>
      </c>
      <c r="K1338" s="8" t="s">
        <v>240</v>
      </c>
      <c r="L1338" s="6"/>
      <c r="M1338" s="7">
        <v>46089</v>
      </c>
      <c r="N1338" s="7" t="s">
        <v>79</v>
      </c>
      <c r="O1338" s="7" t="s">
        <v>79</v>
      </c>
      <c r="P1338" s="6" t="s">
        <v>62</v>
      </c>
      <c r="Q1338" s="8" t="s">
        <v>5217</v>
      </c>
      <c r="R1338" t="str">
        <f>HYPERLINK("https://docs.wto.org/imrd/directdoc.asp?DDFDocuments/t/G/TBTN26/PAN147.docx", "https://docs.wto.org/imrd/directdoc.asp?DDFDocuments/t/G/TBTN26/PAN147.docx")</f>
        <v>https://docs.wto.org/imrd/directdoc.asp?DDFDocuments/t/G/TBTN26/PAN147.docx</v>
      </c>
      <c r="S1338" t="str">
        <f>HYPERLINK("https://docs.wto.org/imrd/directdoc.asp?DDFDocuments/u/G/TBTN26/PAN147.docx", "https://docs.wto.org/imrd/directdoc.asp?DDFDocuments/u/G/TBTN26/PAN147.docx")</f>
        <v>https://docs.wto.org/imrd/directdoc.asp?DDFDocuments/u/G/TBTN26/PAN147.docx</v>
      </c>
      <c r="T1338" t="str">
        <f>HYPERLINK("https://docs.wto.org/imrd/directdoc.asp?DDFDocuments/v/G/TBTN26/PAN147.docx", "https://docs.wto.org/imrd/directdoc.asp?DDFDocuments/v/G/TBTN26/PAN147.docx")</f>
        <v>https://docs.wto.org/imrd/directdoc.asp?DDFDocuments/v/G/TBTN26/PAN147.docx</v>
      </c>
      <c r="U1338" t="s">
        <v>64</v>
      </c>
      <c r="V1338" t="s">
        <v>46</v>
      </c>
      <c r="W1338" t="s">
        <v>46</v>
      </c>
      <c r="X1338" t="s">
        <v>46</v>
      </c>
      <c r="Y1338" t="s">
        <v>46</v>
      </c>
      <c r="Z1338" t="s">
        <v>46</v>
      </c>
      <c r="AA1338" t="s">
        <v>46</v>
      </c>
      <c r="AB1338" s="2" t="s">
        <v>5023</v>
      </c>
      <c r="AC1338" t="s">
        <v>43</v>
      </c>
      <c r="AD1338" t="s">
        <v>43</v>
      </c>
      <c r="AE1338" t="s">
        <v>43</v>
      </c>
      <c r="AF1338" t="s">
        <v>43</v>
      </c>
      <c r="AG1338" t="s">
        <v>43</v>
      </c>
      <c r="AH1338" s="2" t="s">
        <v>43</v>
      </c>
    </row>
    <row r="1339" spans="1:34" ht="150">
      <c r="A1339" s="6" t="s">
        <v>2430</v>
      </c>
      <c r="B1339" s="7">
        <v>46029</v>
      </c>
      <c r="C1339" s="9" t="str">
        <f>HYPERLINK("https://eping.wto.org/en/Search?viewData= G/SPS/N/NIC/244"," G/SPS/N/NIC/244")</f>
        <v xml:space="preserve"> G/SPS/N/NIC/244</v>
      </c>
      <c r="D1339" s="8" t="s">
        <v>5218</v>
      </c>
      <c r="E1339" s="8" t="s">
        <v>5219</v>
      </c>
      <c r="F1339" s="8" t="s">
        <v>5220</v>
      </c>
      <c r="G1339" s="8" t="s">
        <v>1381</v>
      </c>
      <c r="H1339" s="8" t="s">
        <v>43</v>
      </c>
      <c r="I1339" s="8" t="s">
        <v>2433</v>
      </c>
      <c r="J1339" s="8" t="s">
        <v>43</v>
      </c>
      <c r="K1339" s="8" t="s">
        <v>5221</v>
      </c>
      <c r="L1339" s="6" t="s">
        <v>756</v>
      </c>
      <c r="M1339" s="7">
        <v>46089</v>
      </c>
      <c r="N1339" s="7" t="s">
        <v>79</v>
      </c>
      <c r="O1339" s="7" t="s">
        <v>79</v>
      </c>
      <c r="P1339" s="6" t="s">
        <v>62</v>
      </c>
      <c r="Q1339" s="8" t="s">
        <v>5222</v>
      </c>
      <c r="R1339" t="str">
        <f>HYPERLINK("https://docs.wto.org/imrd/directdoc.asp?DDFDocuments/t/G/SPS/NNIC244.docx", "https://docs.wto.org/imrd/directdoc.asp?DDFDocuments/t/G/SPS/NNIC244.docx")</f>
        <v>https://docs.wto.org/imrd/directdoc.asp?DDFDocuments/t/G/SPS/NNIC244.docx</v>
      </c>
      <c r="S1339" t="str">
        <f>HYPERLINK("https://docs.wto.org/imrd/directdoc.asp?DDFDocuments/u/G/SPS/NNIC244.docx", "https://docs.wto.org/imrd/directdoc.asp?DDFDocuments/u/G/SPS/NNIC244.docx")</f>
        <v>https://docs.wto.org/imrd/directdoc.asp?DDFDocuments/u/G/SPS/NNIC244.docx</v>
      </c>
      <c r="T1339" t="str">
        <f>HYPERLINK("https://docs.wto.org/imrd/directdoc.asp?DDFDocuments/v/G/SPS/NNIC244.docx", "https://docs.wto.org/imrd/directdoc.asp?DDFDocuments/v/G/SPS/NNIC244.docx")</f>
        <v>https://docs.wto.org/imrd/directdoc.asp?DDFDocuments/v/G/SPS/NNIC244.docx</v>
      </c>
      <c r="U1339" t="s">
        <v>43</v>
      </c>
      <c r="V1339" t="s">
        <v>43</v>
      </c>
      <c r="W1339" t="s">
        <v>43</v>
      </c>
      <c r="X1339" t="s">
        <v>43</v>
      </c>
      <c r="Y1339" t="s">
        <v>43</v>
      </c>
      <c r="Z1339" t="s">
        <v>43</v>
      </c>
      <c r="AA1339" t="s">
        <v>43</v>
      </c>
      <c r="AB1339" s="2" t="s">
        <v>43</v>
      </c>
      <c r="AC1339" t="s">
        <v>46</v>
      </c>
      <c r="AD1339" t="s">
        <v>46</v>
      </c>
      <c r="AE1339" t="s">
        <v>46</v>
      </c>
      <c r="AF1339" t="s">
        <v>64</v>
      </c>
      <c r="AG1339" t="s">
        <v>99</v>
      </c>
      <c r="AH1339" s="2" t="s">
        <v>43</v>
      </c>
    </row>
    <row r="1340" spans="1:34" ht="90">
      <c r="A1340" s="6" t="s">
        <v>185</v>
      </c>
      <c r="B1340" s="7">
        <v>46029</v>
      </c>
      <c r="C1340" s="9" t="str">
        <f>HYPERLINK("https://eping.wto.org/en/Search?viewData= G/TBT/N/CHN/2181"," G/TBT/N/CHN/2181")</f>
        <v xml:space="preserve"> G/TBT/N/CHN/2181</v>
      </c>
      <c r="D1340" s="8" t="s">
        <v>5223</v>
      </c>
      <c r="E1340" s="8" t="s">
        <v>5224</v>
      </c>
      <c r="F1340" s="8" t="s">
        <v>5225</v>
      </c>
      <c r="G1340" s="8" t="s">
        <v>5226</v>
      </c>
      <c r="H1340" s="8" t="s">
        <v>5227</v>
      </c>
      <c r="I1340" s="8" t="s">
        <v>275</v>
      </c>
      <c r="J1340" s="8" t="s">
        <v>43</v>
      </c>
      <c r="K1340" s="8" t="s">
        <v>43</v>
      </c>
      <c r="L1340" s="6"/>
      <c r="M1340" s="7" t="s">
        <v>43</v>
      </c>
      <c r="N1340" s="7" t="s">
        <v>79</v>
      </c>
      <c r="O1340" s="7" t="s">
        <v>192</v>
      </c>
      <c r="P1340" s="6" t="s">
        <v>62</v>
      </c>
      <c r="Q1340" s="8" t="s">
        <v>5228</v>
      </c>
      <c r="R1340" t="str">
        <f>HYPERLINK("https://docs.wto.org/imrd/directdoc.asp?DDFDocuments/t/G/TBTN26/CHN2181.docx", "https://docs.wto.org/imrd/directdoc.asp?DDFDocuments/t/G/TBTN26/CHN2181.docx")</f>
        <v>https://docs.wto.org/imrd/directdoc.asp?DDFDocuments/t/G/TBTN26/CHN2181.docx</v>
      </c>
      <c r="S1340" t="str">
        <f>HYPERLINK("https://docs.wto.org/imrd/directdoc.asp?DDFDocuments/u/G/TBTN26/CHN2181.docx", "https://docs.wto.org/imrd/directdoc.asp?DDFDocuments/u/G/TBTN26/CHN2181.docx")</f>
        <v>https://docs.wto.org/imrd/directdoc.asp?DDFDocuments/u/G/TBTN26/CHN2181.docx</v>
      </c>
      <c r="T1340" t="str">
        <f>HYPERLINK("https://docs.wto.org/imrd/directdoc.asp?DDFDocuments/v/G/TBTN26/CHN2181.docx", "https://docs.wto.org/imrd/directdoc.asp?DDFDocuments/v/G/TBTN26/CHN2181.docx")</f>
        <v>https://docs.wto.org/imrd/directdoc.asp?DDFDocuments/v/G/TBTN26/CHN2181.docx</v>
      </c>
      <c r="U1340" t="s">
        <v>46</v>
      </c>
      <c r="V1340" t="s">
        <v>46</v>
      </c>
      <c r="W1340" t="s">
        <v>46</v>
      </c>
      <c r="X1340" t="s">
        <v>64</v>
      </c>
      <c r="Y1340" t="s">
        <v>46</v>
      </c>
      <c r="Z1340" t="s">
        <v>46</v>
      </c>
      <c r="AA1340" t="s">
        <v>46</v>
      </c>
      <c r="AB1340" s="2" t="s">
        <v>43</v>
      </c>
      <c r="AC1340" t="s">
        <v>43</v>
      </c>
      <c r="AD1340" t="s">
        <v>43</v>
      </c>
      <c r="AE1340" t="s">
        <v>43</v>
      </c>
      <c r="AF1340" t="s">
        <v>43</v>
      </c>
      <c r="AG1340" t="s">
        <v>43</v>
      </c>
      <c r="AH1340" s="2" t="s">
        <v>43</v>
      </c>
    </row>
    <row r="1341" spans="1:34" ht="30">
      <c r="A1341" s="6" t="s">
        <v>289</v>
      </c>
      <c r="B1341" s="7">
        <v>46029</v>
      </c>
      <c r="C1341" s="9" t="str">
        <f>HYPERLINK("https://eping.wto.org/en/Search?viewData= G/TBT/N/BRA/1615"," G/TBT/N/BRA/1615")</f>
        <v xml:space="preserve"> G/TBT/N/BRA/1615</v>
      </c>
      <c r="D1341" s="8" t="s">
        <v>5229</v>
      </c>
      <c r="E1341" s="8" t="s">
        <v>5230</v>
      </c>
      <c r="F1341" s="8" t="s">
        <v>1515</v>
      </c>
      <c r="G1341" s="8" t="s">
        <v>43</v>
      </c>
      <c r="H1341" s="8" t="s">
        <v>1516</v>
      </c>
      <c r="I1341" s="8" t="s">
        <v>275</v>
      </c>
      <c r="J1341" s="8" t="s">
        <v>43</v>
      </c>
      <c r="K1341" s="8" t="s">
        <v>43</v>
      </c>
      <c r="L1341" s="6"/>
      <c r="M1341" s="7">
        <v>46089</v>
      </c>
      <c r="N1341" s="7" t="s">
        <v>79</v>
      </c>
      <c r="O1341" s="7" t="s">
        <v>79</v>
      </c>
      <c r="P1341" s="6" t="s">
        <v>62</v>
      </c>
      <c r="Q1341" s="8" t="s">
        <v>5231</v>
      </c>
      <c r="R1341" t="str">
        <f>HYPERLINK("https://docs.wto.org/imrd/directdoc.asp?DDFDocuments/t/G/TBTN26/BRA1615.docx", "https://docs.wto.org/imrd/directdoc.asp?DDFDocuments/t/G/TBTN26/BRA1615.docx")</f>
        <v>https://docs.wto.org/imrd/directdoc.asp?DDFDocuments/t/G/TBTN26/BRA1615.docx</v>
      </c>
      <c r="S1341" t="str">
        <f>HYPERLINK("https://docs.wto.org/imrd/directdoc.asp?DDFDocuments/u/G/TBTN26/BRA1615.docx", "https://docs.wto.org/imrd/directdoc.asp?DDFDocuments/u/G/TBTN26/BRA1615.docx")</f>
        <v>https://docs.wto.org/imrd/directdoc.asp?DDFDocuments/u/G/TBTN26/BRA1615.docx</v>
      </c>
      <c r="T1341" t="str">
        <f>HYPERLINK("https://docs.wto.org/imrd/directdoc.asp?DDFDocuments/v/G/TBTN26/BRA1615.docx", "https://docs.wto.org/imrd/directdoc.asp?DDFDocuments/v/G/TBTN26/BRA1615.docx")</f>
        <v>https://docs.wto.org/imrd/directdoc.asp?DDFDocuments/v/G/TBTN26/BRA1615.docx</v>
      </c>
      <c r="U1341" t="s">
        <v>64</v>
      </c>
      <c r="V1341" t="s">
        <v>46</v>
      </c>
      <c r="W1341" t="s">
        <v>46</v>
      </c>
      <c r="X1341" t="s">
        <v>46</v>
      </c>
      <c r="Y1341" t="s">
        <v>46</v>
      </c>
      <c r="Z1341" t="s">
        <v>46</v>
      </c>
      <c r="AA1341" t="s">
        <v>46</v>
      </c>
      <c r="AB1341" s="2" t="s">
        <v>43</v>
      </c>
      <c r="AC1341" t="s">
        <v>43</v>
      </c>
      <c r="AD1341" t="s">
        <v>43</v>
      </c>
      <c r="AE1341" t="s">
        <v>43</v>
      </c>
      <c r="AF1341" t="s">
        <v>43</v>
      </c>
      <c r="AG1341" t="s">
        <v>43</v>
      </c>
      <c r="AH1341" s="2" t="s">
        <v>43</v>
      </c>
    </row>
    <row r="1342" spans="1:34" ht="90">
      <c r="A1342" s="6" t="s">
        <v>96</v>
      </c>
      <c r="B1342" s="7">
        <v>46029</v>
      </c>
      <c r="C1342" s="9" t="str">
        <f>HYPERLINK("https://eping.wto.org/en/Search?viewData= G/TBT/N/ISR/1299/Add.1"," G/TBT/N/ISR/1299/Add.1")</f>
        <v xml:space="preserve"> G/TBT/N/ISR/1299/Add.1</v>
      </c>
      <c r="D1342" s="8" t="s">
        <v>5232</v>
      </c>
      <c r="E1342" s="8" t="s">
        <v>43</v>
      </c>
      <c r="F1342" s="8" t="s">
        <v>5233</v>
      </c>
      <c r="G1342" s="8" t="s">
        <v>5234</v>
      </c>
      <c r="H1342" s="8" t="s">
        <v>5235</v>
      </c>
      <c r="I1342" s="8" t="s">
        <v>4290</v>
      </c>
      <c r="J1342" s="8" t="s">
        <v>43</v>
      </c>
      <c r="K1342" s="8" t="s">
        <v>43</v>
      </c>
      <c r="L1342" s="6"/>
      <c r="M1342" s="7" t="s">
        <v>43</v>
      </c>
      <c r="N1342" s="7"/>
      <c r="O1342" s="7"/>
      <c r="P1342" s="6" t="s">
        <v>44</v>
      </c>
      <c r="Q1342" s="8" t="s">
        <v>5236</v>
      </c>
      <c r="R1342" t="str">
        <f>HYPERLINK("https://docs.wto.org/imrd/directdoc.asp?DDFDocuments/t/G/TBTN23/ISR1299A1.docx", "https://docs.wto.org/imrd/directdoc.asp?DDFDocuments/t/G/TBTN23/ISR1299A1.docx")</f>
        <v>https://docs.wto.org/imrd/directdoc.asp?DDFDocuments/t/G/TBTN23/ISR1299A1.docx</v>
      </c>
      <c r="S1342" t="str">
        <f>HYPERLINK("https://docs.wto.org/imrd/directdoc.asp?DDFDocuments/u/G/TBTN23/ISR1299A1.docx", "https://docs.wto.org/imrd/directdoc.asp?DDFDocuments/u/G/TBTN23/ISR1299A1.docx")</f>
        <v>https://docs.wto.org/imrd/directdoc.asp?DDFDocuments/u/G/TBTN23/ISR1299A1.docx</v>
      </c>
      <c r="T1342" t="str">
        <f>HYPERLINK("https://docs.wto.org/imrd/directdoc.asp?DDFDocuments/v/G/TBTN23/ISR1299A1.docx", "https://docs.wto.org/imrd/directdoc.asp?DDFDocuments/v/G/TBTN23/ISR1299A1.docx")</f>
        <v>https://docs.wto.org/imrd/directdoc.asp?DDFDocuments/v/G/TBTN23/ISR1299A1.docx</v>
      </c>
      <c r="U1342" t="s">
        <v>64</v>
      </c>
      <c r="V1342" t="s">
        <v>46</v>
      </c>
      <c r="W1342" t="s">
        <v>46</v>
      </c>
      <c r="X1342" t="s">
        <v>46</v>
      </c>
      <c r="Y1342" t="s">
        <v>46</v>
      </c>
      <c r="Z1342" t="s">
        <v>46</v>
      </c>
      <c r="AA1342" t="s">
        <v>46</v>
      </c>
      <c r="AB1342" s="2" t="s">
        <v>43</v>
      </c>
      <c r="AC1342" t="s">
        <v>43</v>
      </c>
      <c r="AD1342" t="s">
        <v>43</v>
      </c>
      <c r="AE1342" t="s">
        <v>43</v>
      </c>
      <c r="AF1342" t="s">
        <v>43</v>
      </c>
      <c r="AG1342" t="s">
        <v>43</v>
      </c>
      <c r="AH1342" s="2" t="s">
        <v>43</v>
      </c>
    </row>
    <row r="1343" spans="1:34" ht="90">
      <c r="A1343" s="6" t="s">
        <v>96</v>
      </c>
      <c r="B1343" s="7">
        <v>46029</v>
      </c>
      <c r="C1343" s="9" t="str">
        <f>HYPERLINK("https://eping.wto.org/en/Search?viewData= G/TBT/N/ISR/1336/Add.1"," G/TBT/N/ISR/1336/Add.1")</f>
        <v xml:space="preserve"> G/TBT/N/ISR/1336/Add.1</v>
      </c>
      <c r="D1343" s="8" t="s">
        <v>5237</v>
      </c>
      <c r="E1343" s="8" t="s">
        <v>5238</v>
      </c>
      <c r="F1343" s="8" t="s">
        <v>4967</v>
      </c>
      <c r="G1343" s="8" t="s">
        <v>4968</v>
      </c>
      <c r="H1343" s="8" t="s">
        <v>5239</v>
      </c>
      <c r="I1343" s="8" t="s">
        <v>2921</v>
      </c>
      <c r="J1343" s="8" t="s">
        <v>43</v>
      </c>
      <c r="K1343" s="8" t="s">
        <v>43</v>
      </c>
      <c r="L1343" s="6"/>
      <c r="M1343" s="7" t="s">
        <v>43</v>
      </c>
      <c r="N1343" s="7"/>
      <c r="O1343" s="7"/>
      <c r="P1343" s="6" t="s">
        <v>44</v>
      </c>
      <c r="Q1343" s="8" t="s">
        <v>5240</v>
      </c>
      <c r="R1343" t="str">
        <f>HYPERLINK("https://docs.wto.org/imrd/directdoc.asp?DDFDocuments/t/G/TBTN24/ISR1336A1.docx", "https://docs.wto.org/imrd/directdoc.asp?DDFDocuments/t/G/TBTN24/ISR1336A1.docx")</f>
        <v>https://docs.wto.org/imrd/directdoc.asp?DDFDocuments/t/G/TBTN24/ISR1336A1.docx</v>
      </c>
      <c r="S1343" t="str">
        <f>HYPERLINK("https://docs.wto.org/imrd/directdoc.asp?DDFDocuments/u/G/TBTN24/ISR1336A1.docx", "https://docs.wto.org/imrd/directdoc.asp?DDFDocuments/u/G/TBTN24/ISR1336A1.docx")</f>
        <v>https://docs.wto.org/imrd/directdoc.asp?DDFDocuments/u/G/TBTN24/ISR1336A1.docx</v>
      </c>
      <c r="T1343" t="str">
        <f>HYPERLINK("https://docs.wto.org/imrd/directdoc.asp?DDFDocuments/v/G/TBTN24/ISR1336A1.docx", "https://docs.wto.org/imrd/directdoc.asp?DDFDocuments/v/G/TBTN24/ISR1336A1.docx")</f>
        <v>https://docs.wto.org/imrd/directdoc.asp?DDFDocuments/v/G/TBTN24/ISR1336A1.docx</v>
      </c>
      <c r="U1343" t="s">
        <v>64</v>
      </c>
      <c r="V1343" t="s">
        <v>46</v>
      </c>
      <c r="W1343" t="s">
        <v>46</v>
      </c>
      <c r="X1343" t="s">
        <v>46</v>
      </c>
      <c r="Y1343" t="s">
        <v>46</v>
      </c>
      <c r="Z1343" t="s">
        <v>46</v>
      </c>
      <c r="AA1343" t="s">
        <v>46</v>
      </c>
      <c r="AB1343" s="2" t="s">
        <v>43</v>
      </c>
      <c r="AC1343" t="s">
        <v>43</v>
      </c>
      <c r="AD1343" t="s">
        <v>43</v>
      </c>
      <c r="AE1343" t="s">
        <v>43</v>
      </c>
      <c r="AF1343" t="s">
        <v>43</v>
      </c>
      <c r="AG1343" t="s">
        <v>43</v>
      </c>
      <c r="AH1343" s="2" t="s">
        <v>43</v>
      </c>
    </row>
    <row r="1344" spans="1:34" ht="105">
      <c r="A1344" s="6" t="s">
        <v>892</v>
      </c>
      <c r="B1344" s="7">
        <v>46029</v>
      </c>
      <c r="C1344" s="9" t="str">
        <f>HYPERLINK("https://eping.wto.org/en/Search?viewData= G/TBT/N/PAN/143"," G/TBT/N/PAN/143")</f>
        <v xml:space="preserve"> G/TBT/N/PAN/143</v>
      </c>
      <c r="D1344" s="8" t="s">
        <v>5241</v>
      </c>
      <c r="E1344" s="8" t="s">
        <v>5242</v>
      </c>
      <c r="F1344" s="8" t="s">
        <v>5154</v>
      </c>
      <c r="G1344" s="8" t="s">
        <v>43</v>
      </c>
      <c r="H1344" s="8" t="s">
        <v>1985</v>
      </c>
      <c r="I1344" s="8" t="s">
        <v>1483</v>
      </c>
      <c r="J1344" s="8" t="s">
        <v>43</v>
      </c>
      <c r="K1344" s="8" t="s">
        <v>240</v>
      </c>
      <c r="L1344" s="6"/>
      <c r="M1344" s="7">
        <v>46089</v>
      </c>
      <c r="N1344" s="7" t="s">
        <v>79</v>
      </c>
      <c r="O1344" s="7" t="s">
        <v>79</v>
      </c>
      <c r="P1344" s="6" t="s">
        <v>62</v>
      </c>
      <c r="Q1344" s="8" t="s">
        <v>5243</v>
      </c>
      <c r="R1344" t="str">
        <f>HYPERLINK("https://docs.wto.org/imrd/directdoc.asp?DDFDocuments/t/G/TBTN26/PAN143.docx", "https://docs.wto.org/imrd/directdoc.asp?DDFDocuments/t/G/TBTN26/PAN143.docx")</f>
        <v>https://docs.wto.org/imrd/directdoc.asp?DDFDocuments/t/G/TBTN26/PAN143.docx</v>
      </c>
      <c r="S1344" t="str">
        <f>HYPERLINK("https://docs.wto.org/imrd/directdoc.asp?DDFDocuments/u/G/TBTN26/PAN143.docx", "https://docs.wto.org/imrd/directdoc.asp?DDFDocuments/u/G/TBTN26/PAN143.docx")</f>
        <v>https://docs.wto.org/imrd/directdoc.asp?DDFDocuments/u/G/TBTN26/PAN143.docx</v>
      </c>
      <c r="T1344" t="str">
        <f>HYPERLINK("https://docs.wto.org/imrd/directdoc.asp?DDFDocuments/v/G/TBTN26/PAN143.docx", "https://docs.wto.org/imrd/directdoc.asp?DDFDocuments/v/G/TBTN26/PAN143.docx")</f>
        <v>https://docs.wto.org/imrd/directdoc.asp?DDFDocuments/v/G/TBTN26/PAN143.docx</v>
      </c>
      <c r="U1344" t="s">
        <v>64</v>
      </c>
      <c r="V1344" t="s">
        <v>46</v>
      </c>
      <c r="W1344" t="s">
        <v>46</v>
      </c>
      <c r="X1344" t="s">
        <v>46</v>
      </c>
      <c r="Y1344" t="s">
        <v>46</v>
      </c>
      <c r="Z1344" t="s">
        <v>46</v>
      </c>
      <c r="AA1344" t="s">
        <v>46</v>
      </c>
      <c r="AB1344" s="2" t="s">
        <v>5244</v>
      </c>
      <c r="AC1344" t="s">
        <v>43</v>
      </c>
      <c r="AD1344" t="s">
        <v>43</v>
      </c>
      <c r="AE1344" t="s">
        <v>43</v>
      </c>
      <c r="AF1344" t="s">
        <v>43</v>
      </c>
      <c r="AG1344" t="s">
        <v>43</v>
      </c>
      <c r="AH1344" s="2" t="s">
        <v>43</v>
      </c>
    </row>
    <row r="1345" spans="1:34" ht="90">
      <c r="A1345" s="6" t="s">
        <v>577</v>
      </c>
      <c r="B1345" s="7">
        <v>46029</v>
      </c>
      <c r="C1345" s="9" t="str">
        <f>HYPERLINK("https://eping.wto.org/en/Search?viewData= G/TBT/N/BDI/704, G/TBT/N/KEN/1968, G/TBT/N/RWA/1334, G/TBT/N/TZA/1484, G/TBT/N/UGA/2302"," G/TBT/N/BDI/704, G/TBT/N/KEN/1968, G/TBT/N/RWA/1334, G/TBT/N/TZA/1484, G/TBT/N/UGA/2302")</f>
        <v xml:space="preserve"> G/TBT/N/BDI/704, G/TBT/N/KEN/1968, G/TBT/N/RWA/1334, G/TBT/N/TZA/1484, G/TBT/N/UGA/2302</v>
      </c>
      <c r="D1345" s="8" t="s">
        <v>5168</v>
      </c>
      <c r="E1345" s="8" t="s">
        <v>5169</v>
      </c>
      <c r="F1345" s="8" t="s">
        <v>5170</v>
      </c>
      <c r="G1345" s="8" t="s">
        <v>5171</v>
      </c>
      <c r="H1345" s="8" t="s">
        <v>4990</v>
      </c>
      <c r="I1345" s="8" t="s">
        <v>4991</v>
      </c>
      <c r="J1345" s="8" t="s">
        <v>43</v>
      </c>
      <c r="K1345" s="8" t="s">
        <v>43</v>
      </c>
      <c r="L1345" s="6"/>
      <c r="M1345" s="7">
        <v>46089</v>
      </c>
      <c r="N1345" s="7" t="s">
        <v>79</v>
      </c>
      <c r="O1345" s="7" t="s">
        <v>79</v>
      </c>
      <c r="P1345" s="6" t="s">
        <v>62</v>
      </c>
      <c r="Q1345" s="8" t="s">
        <v>5172</v>
      </c>
      <c r="R1345" t="str">
        <f>HYPERLINK("https://docs.wto.org/imrd/directdoc.asp?DDFDocuments/t/G/TBTN26/BDI704.docx", "https://docs.wto.org/imrd/directdoc.asp?DDFDocuments/t/G/TBTN26/BDI704.docx")</f>
        <v>https://docs.wto.org/imrd/directdoc.asp?DDFDocuments/t/G/TBTN26/BDI704.docx</v>
      </c>
      <c r="S1345" t="str">
        <f>HYPERLINK("https://docs.wto.org/imrd/directdoc.asp?DDFDocuments/u/G/TBTN26/BDI704.docx", "https://docs.wto.org/imrd/directdoc.asp?DDFDocuments/u/G/TBTN26/BDI704.docx")</f>
        <v>https://docs.wto.org/imrd/directdoc.asp?DDFDocuments/u/G/TBTN26/BDI704.docx</v>
      </c>
      <c r="T1345" t="str">
        <f>HYPERLINK("https://docs.wto.org/imrd/directdoc.asp?DDFDocuments/v/G/TBTN26/BDI704.docx", "https://docs.wto.org/imrd/directdoc.asp?DDFDocuments/v/G/TBTN26/BDI704.docx")</f>
        <v>https://docs.wto.org/imrd/directdoc.asp?DDFDocuments/v/G/TBTN26/BDI704.docx</v>
      </c>
      <c r="U1345" t="s">
        <v>64</v>
      </c>
      <c r="V1345" t="s">
        <v>46</v>
      </c>
      <c r="W1345" t="s">
        <v>64</v>
      </c>
      <c r="X1345" t="s">
        <v>46</v>
      </c>
      <c r="Y1345" t="s">
        <v>46</v>
      </c>
      <c r="Z1345" t="s">
        <v>46</v>
      </c>
      <c r="AA1345" t="s">
        <v>46</v>
      </c>
      <c r="AB1345" s="2" t="s">
        <v>5173</v>
      </c>
      <c r="AC1345" t="s">
        <v>43</v>
      </c>
      <c r="AD1345" t="s">
        <v>43</v>
      </c>
      <c r="AE1345" t="s">
        <v>43</v>
      </c>
      <c r="AF1345" t="s">
        <v>43</v>
      </c>
      <c r="AG1345" t="s">
        <v>43</v>
      </c>
      <c r="AH1345" s="2" t="s">
        <v>43</v>
      </c>
    </row>
    <row r="1346" spans="1:34" ht="105">
      <c r="A1346" s="6" t="s">
        <v>96</v>
      </c>
      <c r="B1346" s="7">
        <v>46029</v>
      </c>
      <c r="C1346" s="9" t="str">
        <f>HYPERLINK("https://eping.wto.org/en/Search?viewData= G/TBT/N/ISR/1300/Add.1"," G/TBT/N/ISR/1300/Add.1")</f>
        <v xml:space="preserve"> G/TBT/N/ISR/1300/Add.1</v>
      </c>
      <c r="D1346" s="8" t="s">
        <v>5245</v>
      </c>
      <c r="E1346" s="8" t="s">
        <v>43</v>
      </c>
      <c r="F1346" s="8" t="s">
        <v>5246</v>
      </c>
      <c r="G1346" s="8" t="s">
        <v>5247</v>
      </c>
      <c r="H1346" s="8" t="s">
        <v>5235</v>
      </c>
      <c r="I1346" s="8" t="s">
        <v>5248</v>
      </c>
      <c r="J1346" s="8" t="s">
        <v>43</v>
      </c>
      <c r="K1346" s="8" t="s">
        <v>43</v>
      </c>
      <c r="L1346" s="6"/>
      <c r="M1346" s="7" t="s">
        <v>43</v>
      </c>
      <c r="N1346" s="7"/>
      <c r="O1346" s="7"/>
      <c r="P1346" s="6" t="s">
        <v>44</v>
      </c>
      <c r="Q1346" s="8" t="s">
        <v>5249</v>
      </c>
      <c r="R1346" t="str">
        <f>HYPERLINK("https://docs.wto.org/imrd/directdoc.asp?DDFDocuments/t/G/TBTN23/ISR1300A1.docx", "https://docs.wto.org/imrd/directdoc.asp?DDFDocuments/t/G/TBTN23/ISR1300A1.docx")</f>
        <v>https://docs.wto.org/imrd/directdoc.asp?DDFDocuments/t/G/TBTN23/ISR1300A1.docx</v>
      </c>
      <c r="S1346" t="str">
        <f>HYPERLINK("https://docs.wto.org/imrd/directdoc.asp?DDFDocuments/u/G/TBTN23/ISR1300A1.docx", "https://docs.wto.org/imrd/directdoc.asp?DDFDocuments/u/G/TBTN23/ISR1300A1.docx")</f>
        <v>https://docs.wto.org/imrd/directdoc.asp?DDFDocuments/u/G/TBTN23/ISR1300A1.docx</v>
      </c>
      <c r="T1346" t="str">
        <f>HYPERLINK("https://docs.wto.org/imrd/directdoc.asp?DDFDocuments/v/G/TBTN23/ISR1300A1.docx", "https://docs.wto.org/imrd/directdoc.asp?DDFDocuments/v/G/TBTN23/ISR1300A1.docx")</f>
        <v>https://docs.wto.org/imrd/directdoc.asp?DDFDocuments/v/G/TBTN23/ISR1300A1.docx</v>
      </c>
      <c r="U1346" t="s">
        <v>64</v>
      </c>
      <c r="V1346" t="s">
        <v>46</v>
      </c>
      <c r="W1346" t="s">
        <v>46</v>
      </c>
      <c r="X1346" t="s">
        <v>46</v>
      </c>
      <c r="Y1346" t="s">
        <v>46</v>
      </c>
      <c r="Z1346" t="s">
        <v>46</v>
      </c>
      <c r="AA1346" t="s">
        <v>46</v>
      </c>
      <c r="AB1346" s="2" t="s">
        <v>43</v>
      </c>
      <c r="AC1346" t="s">
        <v>43</v>
      </c>
      <c r="AD1346" t="s">
        <v>43</v>
      </c>
      <c r="AE1346" t="s">
        <v>43</v>
      </c>
      <c r="AF1346" t="s">
        <v>43</v>
      </c>
      <c r="AG1346" t="s">
        <v>43</v>
      </c>
      <c r="AH1346" s="2" t="s">
        <v>43</v>
      </c>
    </row>
    <row r="1347" spans="1:34" ht="409.5">
      <c r="A1347" s="6" t="s">
        <v>47</v>
      </c>
      <c r="B1347" s="7">
        <v>46029</v>
      </c>
      <c r="C1347" s="9" t="str">
        <f>HYPERLINK("https://eping.wto.org/en/Search?viewData= G/TBT/N/CAN/673/Add.2"," G/TBT/N/CAN/673/Add.2")</f>
        <v xml:space="preserve"> G/TBT/N/CAN/673/Add.2</v>
      </c>
      <c r="D1347" s="8" t="s">
        <v>5250</v>
      </c>
      <c r="E1347" s="8" t="s">
        <v>5251</v>
      </c>
      <c r="F1347" s="8" t="s">
        <v>5252</v>
      </c>
      <c r="G1347" s="8" t="s">
        <v>43</v>
      </c>
      <c r="H1347" s="8" t="s">
        <v>342</v>
      </c>
      <c r="I1347" s="8" t="s">
        <v>336</v>
      </c>
      <c r="J1347" s="8" t="s">
        <v>43</v>
      </c>
      <c r="K1347" s="8" t="s">
        <v>43</v>
      </c>
      <c r="L1347" s="6"/>
      <c r="M1347" s="7" t="s">
        <v>43</v>
      </c>
      <c r="N1347" s="7"/>
      <c r="O1347" s="7"/>
      <c r="P1347" s="6" t="s">
        <v>44</v>
      </c>
      <c r="Q1347" s="6"/>
      <c r="R1347" t="str">
        <f>HYPERLINK("https://docs.wto.org/imrd/directdoc.asp?DDFDocuments/t/G/TBTN22/CAN673A2.docx", "https://docs.wto.org/imrd/directdoc.asp?DDFDocuments/t/G/TBTN22/CAN673A2.docx")</f>
        <v>https://docs.wto.org/imrd/directdoc.asp?DDFDocuments/t/G/TBTN22/CAN673A2.docx</v>
      </c>
      <c r="S1347" t="str">
        <f>HYPERLINK("https://docs.wto.org/imrd/directdoc.asp?DDFDocuments/u/G/TBTN22/CAN673A2.docx", "https://docs.wto.org/imrd/directdoc.asp?DDFDocuments/u/G/TBTN22/CAN673A2.docx")</f>
        <v>https://docs.wto.org/imrd/directdoc.asp?DDFDocuments/u/G/TBTN22/CAN673A2.docx</v>
      </c>
      <c r="T1347" t="str">
        <f>HYPERLINK("https://docs.wto.org/imrd/directdoc.asp?DDFDocuments/v/G/TBTN22/CAN673A2.docx", "https://docs.wto.org/imrd/directdoc.asp?DDFDocuments/v/G/TBTN22/CAN673A2.docx")</f>
        <v>https://docs.wto.org/imrd/directdoc.asp?DDFDocuments/v/G/TBTN22/CAN673A2.docx</v>
      </c>
      <c r="U1347" t="s">
        <v>64</v>
      </c>
      <c r="V1347" t="s">
        <v>46</v>
      </c>
      <c r="W1347" t="s">
        <v>46</v>
      </c>
      <c r="X1347" t="s">
        <v>46</v>
      </c>
      <c r="Y1347" t="s">
        <v>46</v>
      </c>
      <c r="Z1347" t="s">
        <v>46</v>
      </c>
      <c r="AA1347" t="s">
        <v>46</v>
      </c>
      <c r="AB1347" s="2" t="s">
        <v>43</v>
      </c>
      <c r="AC1347" t="s">
        <v>43</v>
      </c>
      <c r="AD1347" t="s">
        <v>43</v>
      </c>
      <c r="AE1347" t="s">
        <v>43</v>
      </c>
      <c r="AF1347" t="s">
        <v>43</v>
      </c>
      <c r="AG1347" t="s">
        <v>43</v>
      </c>
      <c r="AH1347" s="2" t="s">
        <v>43</v>
      </c>
    </row>
    <row r="1348" spans="1:34" ht="225">
      <c r="A1348" s="6" t="s">
        <v>892</v>
      </c>
      <c r="B1348" s="7">
        <v>46029</v>
      </c>
      <c r="C1348" s="9" t="str">
        <f>HYPERLINK("https://eping.wto.org/en/Search?viewData= G/TBT/N/PAN/149"," G/TBT/N/PAN/149")</f>
        <v xml:space="preserve"> G/TBT/N/PAN/149</v>
      </c>
      <c r="D1348" s="8" t="s">
        <v>5253</v>
      </c>
      <c r="E1348" s="8" t="s">
        <v>5254</v>
      </c>
      <c r="F1348" s="8" t="s">
        <v>5255</v>
      </c>
      <c r="G1348" s="8" t="s">
        <v>43</v>
      </c>
      <c r="H1348" s="8" t="s">
        <v>2589</v>
      </c>
      <c r="I1348" s="8" t="s">
        <v>1483</v>
      </c>
      <c r="J1348" s="8" t="s">
        <v>43</v>
      </c>
      <c r="K1348" s="8" t="s">
        <v>240</v>
      </c>
      <c r="L1348" s="6"/>
      <c r="M1348" s="7">
        <v>46089</v>
      </c>
      <c r="N1348" s="7" t="s">
        <v>79</v>
      </c>
      <c r="O1348" s="7" t="s">
        <v>79</v>
      </c>
      <c r="P1348" s="6" t="s">
        <v>62</v>
      </c>
      <c r="Q1348" s="8" t="s">
        <v>5256</v>
      </c>
      <c r="R1348" t="str">
        <f>HYPERLINK("https://docs.wto.org/imrd/directdoc.asp?DDFDocuments/t/G/TBTN26/PAN149.docx", "https://docs.wto.org/imrd/directdoc.asp?DDFDocuments/t/G/TBTN26/PAN149.docx")</f>
        <v>https://docs.wto.org/imrd/directdoc.asp?DDFDocuments/t/G/TBTN26/PAN149.docx</v>
      </c>
      <c r="S1348" t="str">
        <f>HYPERLINK("https://docs.wto.org/imrd/directdoc.asp?DDFDocuments/u/G/TBTN26/PAN149.docx", "https://docs.wto.org/imrd/directdoc.asp?DDFDocuments/u/G/TBTN26/PAN149.docx")</f>
        <v>https://docs.wto.org/imrd/directdoc.asp?DDFDocuments/u/G/TBTN26/PAN149.docx</v>
      </c>
      <c r="T1348" t="str">
        <f>HYPERLINK("https://docs.wto.org/imrd/directdoc.asp?DDFDocuments/v/G/TBTN26/PAN149.docx", "https://docs.wto.org/imrd/directdoc.asp?DDFDocuments/v/G/TBTN26/PAN149.docx")</f>
        <v>https://docs.wto.org/imrd/directdoc.asp?DDFDocuments/v/G/TBTN26/PAN149.docx</v>
      </c>
      <c r="U1348" t="s">
        <v>46</v>
      </c>
      <c r="V1348" t="s">
        <v>46</v>
      </c>
      <c r="W1348" t="s">
        <v>64</v>
      </c>
      <c r="X1348" t="s">
        <v>46</v>
      </c>
      <c r="Y1348" t="s">
        <v>46</v>
      </c>
      <c r="Z1348" t="s">
        <v>46</v>
      </c>
      <c r="AA1348" t="s">
        <v>46</v>
      </c>
      <c r="AB1348" s="2" t="s">
        <v>5023</v>
      </c>
      <c r="AC1348" t="s">
        <v>43</v>
      </c>
      <c r="AD1348" t="s">
        <v>43</v>
      </c>
      <c r="AE1348" t="s">
        <v>43</v>
      </c>
      <c r="AF1348" t="s">
        <v>43</v>
      </c>
      <c r="AG1348" t="s">
        <v>43</v>
      </c>
      <c r="AH1348" s="2" t="s">
        <v>43</v>
      </c>
    </row>
    <row r="1349" spans="1:34" ht="210">
      <c r="A1349" s="6" t="s">
        <v>577</v>
      </c>
      <c r="B1349" s="7">
        <v>46029</v>
      </c>
      <c r="C1349" s="9" t="str">
        <f>HYPERLINK("https://eping.wto.org/en/Search?viewData= G/TBT/N/BDI/705, G/TBT/N/KEN/1969, G/TBT/N/RWA/1335, G/TBT/N/TZA/1485, G/TBT/N/UGA/2303"," G/TBT/N/BDI/705, G/TBT/N/KEN/1969, G/TBT/N/RWA/1335, G/TBT/N/TZA/1485, G/TBT/N/UGA/2303")</f>
        <v xml:space="preserve"> G/TBT/N/BDI/705, G/TBT/N/KEN/1969, G/TBT/N/RWA/1335, G/TBT/N/TZA/1485, G/TBT/N/UGA/2303</v>
      </c>
      <c r="D1349" s="8" t="s">
        <v>4994</v>
      </c>
      <c r="E1349" s="8" t="s">
        <v>4995</v>
      </c>
      <c r="F1349" s="8" t="s">
        <v>4996</v>
      </c>
      <c r="G1349" s="8" t="s">
        <v>3721</v>
      </c>
      <c r="H1349" s="8" t="s">
        <v>4990</v>
      </c>
      <c r="I1349" s="8" t="s">
        <v>1035</v>
      </c>
      <c r="J1349" s="8" t="s">
        <v>43</v>
      </c>
      <c r="K1349" s="8" t="s">
        <v>43</v>
      </c>
      <c r="L1349" s="6"/>
      <c r="M1349" s="7">
        <v>46089</v>
      </c>
      <c r="N1349" s="7" t="s">
        <v>79</v>
      </c>
      <c r="O1349" s="7" t="s">
        <v>79</v>
      </c>
      <c r="P1349" s="6" t="s">
        <v>62</v>
      </c>
      <c r="Q1349" s="8" t="s">
        <v>4997</v>
      </c>
      <c r="R1349" t="str">
        <f>HYPERLINK("https://docs.wto.org/imrd/directdoc.asp?DDFDocuments/t/G/TBTN26/BDI705.docx", "https://docs.wto.org/imrd/directdoc.asp?DDFDocuments/t/G/TBTN26/BDI705.docx")</f>
        <v>https://docs.wto.org/imrd/directdoc.asp?DDFDocuments/t/G/TBTN26/BDI705.docx</v>
      </c>
      <c r="S1349" t="str">
        <f>HYPERLINK("https://docs.wto.org/imrd/directdoc.asp?DDFDocuments/u/G/TBTN26/BDI705.docx", "https://docs.wto.org/imrd/directdoc.asp?DDFDocuments/u/G/TBTN26/BDI705.docx")</f>
        <v>https://docs.wto.org/imrd/directdoc.asp?DDFDocuments/u/G/TBTN26/BDI705.docx</v>
      </c>
      <c r="T1349" t="str">
        <f>HYPERLINK("https://docs.wto.org/imrd/directdoc.asp?DDFDocuments/v/G/TBTN26/BDI705.docx", "https://docs.wto.org/imrd/directdoc.asp?DDFDocuments/v/G/TBTN26/BDI705.docx")</f>
        <v>https://docs.wto.org/imrd/directdoc.asp?DDFDocuments/v/G/TBTN26/BDI705.docx</v>
      </c>
      <c r="U1349" t="s">
        <v>64</v>
      </c>
      <c r="V1349" t="s">
        <v>46</v>
      </c>
      <c r="W1349" t="s">
        <v>64</v>
      </c>
      <c r="X1349" t="s">
        <v>46</v>
      </c>
      <c r="Y1349" t="s">
        <v>46</v>
      </c>
      <c r="Z1349" t="s">
        <v>46</v>
      </c>
      <c r="AA1349" t="s">
        <v>46</v>
      </c>
      <c r="AB1349" s="2" t="s">
        <v>4998</v>
      </c>
      <c r="AC1349" t="s">
        <v>43</v>
      </c>
      <c r="AD1349" t="s">
        <v>43</v>
      </c>
      <c r="AE1349" t="s">
        <v>43</v>
      </c>
      <c r="AF1349" t="s">
        <v>43</v>
      </c>
      <c r="AG1349" t="s">
        <v>43</v>
      </c>
      <c r="AH1349" s="2" t="s">
        <v>43</v>
      </c>
    </row>
    <row r="1350" spans="1:34" ht="210">
      <c r="A1350" s="6" t="s">
        <v>124</v>
      </c>
      <c r="B1350" s="7">
        <v>46029</v>
      </c>
      <c r="C1350" s="9" t="str">
        <f>HYPERLINK("https://eping.wto.org/en/Search?viewData= G/TBT/N/BDI/705, G/TBT/N/KEN/1969, G/TBT/N/RWA/1335, G/TBT/N/TZA/1485, G/TBT/N/UGA/2303"," G/TBT/N/BDI/705, G/TBT/N/KEN/1969, G/TBT/N/RWA/1335, G/TBT/N/TZA/1485, G/TBT/N/UGA/2303")</f>
        <v xml:space="preserve"> G/TBT/N/BDI/705, G/TBT/N/KEN/1969, G/TBT/N/RWA/1335, G/TBT/N/TZA/1485, G/TBT/N/UGA/2303</v>
      </c>
      <c r="D1350" s="8" t="s">
        <v>4994</v>
      </c>
      <c r="E1350" s="8" t="s">
        <v>4995</v>
      </c>
      <c r="F1350" s="8" t="s">
        <v>4996</v>
      </c>
      <c r="G1350" s="8" t="s">
        <v>3721</v>
      </c>
      <c r="H1350" s="8" t="s">
        <v>4990</v>
      </c>
      <c r="I1350" s="8" t="s">
        <v>1035</v>
      </c>
      <c r="J1350" s="8" t="s">
        <v>43</v>
      </c>
      <c r="K1350" s="8" t="s">
        <v>43</v>
      </c>
      <c r="L1350" s="6"/>
      <c r="M1350" s="7">
        <v>46089</v>
      </c>
      <c r="N1350" s="7" t="s">
        <v>79</v>
      </c>
      <c r="O1350" s="7" t="s">
        <v>79</v>
      </c>
      <c r="P1350" s="6" t="s">
        <v>62</v>
      </c>
      <c r="Q1350" s="8" t="s">
        <v>4997</v>
      </c>
      <c r="R1350" t="str">
        <f>HYPERLINK("https://docs.wto.org/imrd/directdoc.asp?DDFDocuments/t/G/TBTN26/BDI705.docx", "https://docs.wto.org/imrd/directdoc.asp?DDFDocuments/t/G/TBTN26/BDI705.docx")</f>
        <v>https://docs.wto.org/imrd/directdoc.asp?DDFDocuments/t/G/TBTN26/BDI705.docx</v>
      </c>
      <c r="S1350" t="str">
        <f>HYPERLINK("https://docs.wto.org/imrd/directdoc.asp?DDFDocuments/u/G/TBTN26/BDI705.docx", "https://docs.wto.org/imrd/directdoc.asp?DDFDocuments/u/G/TBTN26/BDI705.docx")</f>
        <v>https://docs.wto.org/imrd/directdoc.asp?DDFDocuments/u/G/TBTN26/BDI705.docx</v>
      </c>
      <c r="T1350" t="str">
        <f>HYPERLINK("https://docs.wto.org/imrd/directdoc.asp?DDFDocuments/v/G/TBTN26/BDI705.docx", "https://docs.wto.org/imrd/directdoc.asp?DDFDocuments/v/G/TBTN26/BDI705.docx")</f>
        <v>https://docs.wto.org/imrd/directdoc.asp?DDFDocuments/v/G/TBTN26/BDI705.docx</v>
      </c>
      <c r="U1350" t="s">
        <v>64</v>
      </c>
      <c r="V1350" t="s">
        <v>46</v>
      </c>
      <c r="W1350" t="s">
        <v>64</v>
      </c>
      <c r="X1350" t="s">
        <v>46</v>
      </c>
      <c r="Y1350" t="s">
        <v>46</v>
      </c>
      <c r="Z1350" t="s">
        <v>46</v>
      </c>
      <c r="AA1350" t="s">
        <v>46</v>
      </c>
      <c r="AB1350" s="2" t="s">
        <v>4998</v>
      </c>
      <c r="AC1350" t="s">
        <v>43</v>
      </c>
      <c r="AD1350" t="s">
        <v>43</v>
      </c>
      <c r="AE1350" t="s">
        <v>43</v>
      </c>
      <c r="AF1350" t="s">
        <v>43</v>
      </c>
      <c r="AG1350" t="s">
        <v>43</v>
      </c>
      <c r="AH1350" s="2" t="s">
        <v>43</v>
      </c>
    </row>
    <row r="1351" spans="1:34" ht="210">
      <c r="A1351" s="6" t="s">
        <v>390</v>
      </c>
      <c r="B1351" s="7">
        <v>46029</v>
      </c>
      <c r="C1351" s="9" t="str">
        <f>HYPERLINK("https://eping.wto.org/en/Search?viewData= G/TBT/N/BDI/705, G/TBT/N/KEN/1969, G/TBT/N/RWA/1335, G/TBT/N/TZA/1485, G/TBT/N/UGA/2303"," G/TBT/N/BDI/705, G/TBT/N/KEN/1969, G/TBT/N/RWA/1335, G/TBT/N/TZA/1485, G/TBT/N/UGA/2303")</f>
        <v xml:space="preserve"> G/TBT/N/BDI/705, G/TBT/N/KEN/1969, G/TBT/N/RWA/1335, G/TBT/N/TZA/1485, G/TBT/N/UGA/2303</v>
      </c>
      <c r="D1351" s="8" t="s">
        <v>4994</v>
      </c>
      <c r="E1351" s="8" t="s">
        <v>4995</v>
      </c>
      <c r="F1351" s="8" t="s">
        <v>4996</v>
      </c>
      <c r="G1351" s="8" t="s">
        <v>3721</v>
      </c>
      <c r="H1351" s="8" t="s">
        <v>4990</v>
      </c>
      <c r="I1351" s="8" t="s">
        <v>1035</v>
      </c>
      <c r="J1351" s="8" t="s">
        <v>43</v>
      </c>
      <c r="K1351" s="8" t="s">
        <v>43</v>
      </c>
      <c r="L1351" s="6"/>
      <c r="M1351" s="7">
        <v>46089</v>
      </c>
      <c r="N1351" s="7" t="s">
        <v>79</v>
      </c>
      <c r="O1351" s="7" t="s">
        <v>79</v>
      </c>
      <c r="P1351" s="6" t="s">
        <v>62</v>
      </c>
      <c r="Q1351" s="8" t="s">
        <v>4997</v>
      </c>
      <c r="R1351" t="str">
        <f>HYPERLINK("https://docs.wto.org/imrd/directdoc.asp?DDFDocuments/t/G/TBTN26/BDI705.docx", "https://docs.wto.org/imrd/directdoc.asp?DDFDocuments/t/G/TBTN26/BDI705.docx")</f>
        <v>https://docs.wto.org/imrd/directdoc.asp?DDFDocuments/t/G/TBTN26/BDI705.docx</v>
      </c>
      <c r="S1351" t="str">
        <f>HYPERLINK("https://docs.wto.org/imrd/directdoc.asp?DDFDocuments/u/G/TBTN26/BDI705.docx", "https://docs.wto.org/imrd/directdoc.asp?DDFDocuments/u/G/TBTN26/BDI705.docx")</f>
        <v>https://docs.wto.org/imrd/directdoc.asp?DDFDocuments/u/G/TBTN26/BDI705.docx</v>
      </c>
      <c r="T1351" t="str">
        <f>HYPERLINK("https://docs.wto.org/imrd/directdoc.asp?DDFDocuments/v/G/TBTN26/BDI705.docx", "https://docs.wto.org/imrd/directdoc.asp?DDFDocuments/v/G/TBTN26/BDI705.docx")</f>
        <v>https://docs.wto.org/imrd/directdoc.asp?DDFDocuments/v/G/TBTN26/BDI705.docx</v>
      </c>
      <c r="U1351" t="s">
        <v>64</v>
      </c>
      <c r="V1351" t="s">
        <v>46</v>
      </c>
      <c r="W1351" t="s">
        <v>64</v>
      </c>
      <c r="X1351" t="s">
        <v>46</v>
      </c>
      <c r="Y1351" t="s">
        <v>46</v>
      </c>
      <c r="Z1351" t="s">
        <v>46</v>
      </c>
      <c r="AA1351" t="s">
        <v>46</v>
      </c>
      <c r="AB1351" s="2" t="s">
        <v>4998</v>
      </c>
      <c r="AC1351" t="s">
        <v>43</v>
      </c>
      <c r="AD1351" t="s">
        <v>43</v>
      </c>
      <c r="AE1351" t="s">
        <v>43</v>
      </c>
      <c r="AF1351" t="s">
        <v>43</v>
      </c>
      <c r="AG1351" t="s">
        <v>43</v>
      </c>
      <c r="AH1351" s="2" t="s">
        <v>43</v>
      </c>
    </row>
    <row r="1352" spans="1:34" ht="90">
      <c r="A1352" s="6" t="s">
        <v>509</v>
      </c>
      <c r="B1352" s="7">
        <v>46029</v>
      </c>
      <c r="C1352" s="9" t="str">
        <f>HYPERLINK("https://eping.wto.org/en/Search?viewData= G/TBT/N/BDI/703, G/TBT/N/KEN/1967, G/TBT/N/RWA/1333, G/TBT/N/TZA/1483, G/TBT/N/UGA/2301"," G/TBT/N/BDI/703, G/TBT/N/KEN/1967, G/TBT/N/RWA/1333, G/TBT/N/TZA/1483, G/TBT/N/UGA/2301")</f>
        <v xml:space="preserve"> G/TBT/N/BDI/703, G/TBT/N/KEN/1967, G/TBT/N/RWA/1333, G/TBT/N/TZA/1483, G/TBT/N/UGA/2301</v>
      </c>
      <c r="D1352" s="8" t="s">
        <v>5074</v>
      </c>
      <c r="E1352" s="8" t="s">
        <v>5075</v>
      </c>
      <c r="F1352" s="8" t="s">
        <v>5076</v>
      </c>
      <c r="G1352" s="8" t="s">
        <v>5077</v>
      </c>
      <c r="H1352" s="8" t="s">
        <v>4990</v>
      </c>
      <c r="I1352" s="8" t="s">
        <v>4991</v>
      </c>
      <c r="J1352" s="8" t="s">
        <v>43</v>
      </c>
      <c r="K1352" s="8" t="s">
        <v>43</v>
      </c>
      <c r="L1352" s="6"/>
      <c r="M1352" s="7">
        <v>46089</v>
      </c>
      <c r="N1352" s="7" t="s">
        <v>79</v>
      </c>
      <c r="O1352" s="7" t="s">
        <v>79</v>
      </c>
      <c r="P1352" s="6" t="s">
        <v>62</v>
      </c>
      <c r="Q1352" s="8" t="s">
        <v>5078</v>
      </c>
      <c r="R1352" t="str">
        <f>HYPERLINK("https://docs.wto.org/imrd/directdoc.asp?DDFDocuments/t/G/TBTN26/BDI703.docx", "https://docs.wto.org/imrd/directdoc.asp?DDFDocuments/t/G/TBTN26/BDI703.docx")</f>
        <v>https://docs.wto.org/imrd/directdoc.asp?DDFDocuments/t/G/TBTN26/BDI703.docx</v>
      </c>
      <c r="S1352" t="str">
        <f>HYPERLINK("https://docs.wto.org/imrd/directdoc.asp?DDFDocuments/u/G/TBTN26/BDI703.docx", "https://docs.wto.org/imrd/directdoc.asp?DDFDocuments/u/G/TBTN26/BDI703.docx")</f>
        <v>https://docs.wto.org/imrd/directdoc.asp?DDFDocuments/u/G/TBTN26/BDI703.docx</v>
      </c>
      <c r="T1352" t="str">
        <f>HYPERLINK("https://docs.wto.org/imrd/directdoc.asp?DDFDocuments/v/G/TBTN26/BDI703.docx", "https://docs.wto.org/imrd/directdoc.asp?DDFDocuments/v/G/TBTN26/BDI703.docx")</f>
        <v>https://docs.wto.org/imrd/directdoc.asp?DDFDocuments/v/G/TBTN26/BDI703.docx</v>
      </c>
      <c r="U1352" t="s">
        <v>64</v>
      </c>
      <c r="V1352" t="s">
        <v>46</v>
      </c>
      <c r="W1352" t="s">
        <v>64</v>
      </c>
      <c r="X1352" t="s">
        <v>46</v>
      </c>
      <c r="Y1352" t="s">
        <v>46</v>
      </c>
      <c r="Z1352" t="s">
        <v>46</v>
      </c>
      <c r="AA1352" t="s">
        <v>46</v>
      </c>
      <c r="AB1352" s="2" t="s">
        <v>5079</v>
      </c>
      <c r="AC1352" t="s">
        <v>43</v>
      </c>
      <c r="AD1352" t="s">
        <v>43</v>
      </c>
      <c r="AE1352" t="s">
        <v>43</v>
      </c>
      <c r="AF1352" t="s">
        <v>43</v>
      </c>
      <c r="AG1352" t="s">
        <v>43</v>
      </c>
      <c r="AH1352" s="2" t="s">
        <v>43</v>
      </c>
    </row>
    <row r="1353" spans="1:34" ht="225">
      <c r="A1353" s="6" t="s">
        <v>1649</v>
      </c>
      <c r="B1353" s="7">
        <v>46029</v>
      </c>
      <c r="C1353" s="9" t="str">
        <f>HYPERLINK("https://eping.wto.org/en/Search?viewData= G/TBT/N/VNM/390"," G/TBT/N/VNM/390")</f>
        <v xml:space="preserve"> G/TBT/N/VNM/390</v>
      </c>
      <c r="D1353" s="8" t="s">
        <v>5257</v>
      </c>
      <c r="E1353" s="8" t="s">
        <v>5258</v>
      </c>
      <c r="F1353" s="8" t="s">
        <v>5259</v>
      </c>
      <c r="G1353" s="8" t="s">
        <v>5260</v>
      </c>
      <c r="H1353" s="8" t="s">
        <v>5261</v>
      </c>
      <c r="I1353" s="8" t="s">
        <v>143</v>
      </c>
      <c r="J1353" s="8" t="s">
        <v>43</v>
      </c>
      <c r="K1353" s="8" t="s">
        <v>43</v>
      </c>
      <c r="L1353" s="6"/>
      <c r="M1353" s="7">
        <v>46089</v>
      </c>
      <c r="N1353" s="7">
        <v>46296</v>
      </c>
      <c r="O1353" s="7">
        <v>46508</v>
      </c>
      <c r="P1353" s="6" t="s">
        <v>62</v>
      </c>
      <c r="Q1353" s="8" t="s">
        <v>5262</v>
      </c>
      <c r="R1353" t="str">
        <f>HYPERLINK("https://docs.wto.org/imrd/directdoc.asp?DDFDocuments/t/G/TBTN26/VNM390.docx", "https://docs.wto.org/imrd/directdoc.asp?DDFDocuments/t/G/TBTN26/VNM390.docx")</f>
        <v>https://docs.wto.org/imrd/directdoc.asp?DDFDocuments/t/G/TBTN26/VNM390.docx</v>
      </c>
      <c r="S1353" t="str">
        <f>HYPERLINK("https://docs.wto.org/imrd/directdoc.asp?DDFDocuments/u/G/TBTN26/VNM390.docx", "https://docs.wto.org/imrd/directdoc.asp?DDFDocuments/u/G/TBTN26/VNM390.docx")</f>
        <v>https://docs.wto.org/imrd/directdoc.asp?DDFDocuments/u/G/TBTN26/VNM390.docx</v>
      </c>
      <c r="T1353" t="str">
        <f>HYPERLINK("https://docs.wto.org/imrd/directdoc.asp?DDFDocuments/v/G/TBTN26/VNM390.docx", "https://docs.wto.org/imrd/directdoc.asp?DDFDocuments/v/G/TBTN26/VNM390.docx")</f>
        <v>https://docs.wto.org/imrd/directdoc.asp?DDFDocuments/v/G/TBTN26/VNM390.docx</v>
      </c>
      <c r="U1353" t="s">
        <v>64</v>
      </c>
      <c r="V1353" t="s">
        <v>46</v>
      </c>
      <c r="W1353" t="s">
        <v>46</v>
      </c>
      <c r="X1353" t="s">
        <v>46</v>
      </c>
      <c r="Y1353" t="s">
        <v>46</v>
      </c>
      <c r="Z1353" t="s">
        <v>46</v>
      </c>
      <c r="AA1353" t="s">
        <v>46</v>
      </c>
      <c r="AB1353" s="2" t="s">
        <v>5263</v>
      </c>
      <c r="AC1353" t="s">
        <v>43</v>
      </c>
      <c r="AD1353" t="s">
        <v>43</v>
      </c>
      <c r="AE1353" t="s">
        <v>43</v>
      </c>
      <c r="AF1353" t="s">
        <v>43</v>
      </c>
      <c r="AG1353" t="s">
        <v>43</v>
      </c>
      <c r="AH1353" s="2" t="s">
        <v>43</v>
      </c>
    </row>
    <row r="1354" spans="1:34" ht="75">
      <c r="A1354" s="6" t="s">
        <v>289</v>
      </c>
      <c r="B1354" s="7">
        <v>46029</v>
      </c>
      <c r="C1354" s="9" t="str">
        <f>HYPERLINK("https://eping.wto.org/en/Search?viewData= G/SPS/N/BRA/2455"," G/SPS/N/BRA/2455")</f>
        <v xml:space="preserve"> G/SPS/N/BRA/2455</v>
      </c>
      <c r="D1354" s="8" t="s">
        <v>5264</v>
      </c>
      <c r="E1354" s="8" t="s">
        <v>5265</v>
      </c>
      <c r="F1354" s="8" t="s">
        <v>1515</v>
      </c>
      <c r="G1354" s="8" t="s">
        <v>43</v>
      </c>
      <c r="H1354" s="8" t="s">
        <v>1516</v>
      </c>
      <c r="I1354" s="8" t="s">
        <v>58</v>
      </c>
      <c r="J1354" s="8" t="s">
        <v>43</v>
      </c>
      <c r="K1354" s="8" t="s">
        <v>43</v>
      </c>
      <c r="L1354" s="6"/>
      <c r="M1354" s="7">
        <v>46089</v>
      </c>
      <c r="N1354" s="7" t="s">
        <v>1517</v>
      </c>
      <c r="O1354" s="7" t="s">
        <v>1517</v>
      </c>
      <c r="P1354" s="6" t="s">
        <v>62</v>
      </c>
      <c r="Q1354" s="8" t="s">
        <v>5266</v>
      </c>
      <c r="R1354" t="str">
        <f>HYPERLINK("https://docs.wto.org/imrd/directdoc.asp?DDFDocuments/t/G/SPS/NBRA2455.docx", "https://docs.wto.org/imrd/directdoc.asp?DDFDocuments/t/G/SPS/NBRA2455.docx")</f>
        <v>https://docs.wto.org/imrd/directdoc.asp?DDFDocuments/t/G/SPS/NBRA2455.docx</v>
      </c>
      <c r="S1354" t="str">
        <f>HYPERLINK("https://docs.wto.org/imrd/directdoc.asp?DDFDocuments/u/G/SPS/NBRA2455.docx", "https://docs.wto.org/imrd/directdoc.asp?DDFDocuments/u/G/SPS/NBRA2455.docx")</f>
        <v>https://docs.wto.org/imrd/directdoc.asp?DDFDocuments/u/G/SPS/NBRA2455.docx</v>
      </c>
      <c r="T1354" t="str">
        <f>HYPERLINK("https://docs.wto.org/imrd/directdoc.asp?DDFDocuments/v/G/SPS/NBRA2455.docx", "https://docs.wto.org/imrd/directdoc.asp?DDFDocuments/v/G/SPS/NBRA2455.docx")</f>
        <v>https://docs.wto.org/imrd/directdoc.asp?DDFDocuments/v/G/SPS/NBRA2455.docx</v>
      </c>
      <c r="U1354" t="s">
        <v>43</v>
      </c>
      <c r="V1354" t="s">
        <v>43</v>
      </c>
      <c r="W1354" t="s">
        <v>43</v>
      </c>
      <c r="X1354" t="s">
        <v>43</v>
      </c>
      <c r="Y1354" t="s">
        <v>43</v>
      </c>
      <c r="Z1354" t="s">
        <v>43</v>
      </c>
      <c r="AA1354" t="s">
        <v>43</v>
      </c>
      <c r="AB1354" s="2" t="s">
        <v>43</v>
      </c>
      <c r="AC1354" t="s">
        <v>46</v>
      </c>
      <c r="AD1354" t="s">
        <v>46</v>
      </c>
      <c r="AE1354" t="s">
        <v>46</v>
      </c>
      <c r="AF1354" t="s">
        <v>64</v>
      </c>
      <c r="AG1354" t="s">
        <v>99</v>
      </c>
      <c r="AH1354" s="2" t="s">
        <v>43</v>
      </c>
    </row>
    <row r="1355" spans="1:34" ht="75">
      <c r="A1355" s="6" t="s">
        <v>289</v>
      </c>
      <c r="B1355" s="7">
        <v>46029</v>
      </c>
      <c r="C1355" s="9" t="str">
        <f>HYPERLINK("https://eping.wto.org/en/Search?viewData= G/SPS/N/BRA/2458"," G/SPS/N/BRA/2458")</f>
        <v xml:space="preserve"> G/SPS/N/BRA/2458</v>
      </c>
      <c r="D1355" s="8" t="s">
        <v>5267</v>
      </c>
      <c r="E1355" s="8" t="s">
        <v>5268</v>
      </c>
      <c r="F1355" s="8" t="s">
        <v>1515</v>
      </c>
      <c r="G1355" s="8" t="s">
        <v>43</v>
      </c>
      <c r="H1355" s="8" t="s">
        <v>1516</v>
      </c>
      <c r="I1355" s="8" t="s">
        <v>58</v>
      </c>
      <c r="J1355" s="8" t="s">
        <v>43</v>
      </c>
      <c r="K1355" s="8" t="s">
        <v>2405</v>
      </c>
      <c r="L1355" s="6"/>
      <c r="M1355" s="7">
        <v>46089</v>
      </c>
      <c r="N1355" s="7" t="s">
        <v>1517</v>
      </c>
      <c r="O1355" s="7" t="s">
        <v>1517</v>
      </c>
      <c r="P1355" s="6" t="s">
        <v>62</v>
      </c>
      <c r="Q1355" s="8" t="s">
        <v>5269</v>
      </c>
      <c r="R1355" t="str">
        <f>HYPERLINK("https://docs.wto.org/imrd/directdoc.asp?DDFDocuments/t/G/SPS/NBRA2458.docx", "https://docs.wto.org/imrd/directdoc.asp?DDFDocuments/t/G/SPS/NBRA2458.docx")</f>
        <v>https://docs.wto.org/imrd/directdoc.asp?DDFDocuments/t/G/SPS/NBRA2458.docx</v>
      </c>
      <c r="S1355" t="str">
        <f>HYPERLINK("https://docs.wto.org/imrd/directdoc.asp?DDFDocuments/u/G/SPS/NBRA2458.docx", "https://docs.wto.org/imrd/directdoc.asp?DDFDocuments/u/G/SPS/NBRA2458.docx")</f>
        <v>https://docs.wto.org/imrd/directdoc.asp?DDFDocuments/u/G/SPS/NBRA2458.docx</v>
      </c>
      <c r="T1355" t="str">
        <f>HYPERLINK("https://docs.wto.org/imrd/directdoc.asp?DDFDocuments/v/G/SPS/NBRA2458.docx", "https://docs.wto.org/imrd/directdoc.asp?DDFDocuments/v/G/SPS/NBRA2458.docx")</f>
        <v>https://docs.wto.org/imrd/directdoc.asp?DDFDocuments/v/G/SPS/NBRA2458.docx</v>
      </c>
      <c r="U1355" t="s">
        <v>43</v>
      </c>
      <c r="V1355" t="s">
        <v>43</v>
      </c>
      <c r="W1355" t="s">
        <v>43</v>
      </c>
      <c r="X1355" t="s">
        <v>43</v>
      </c>
      <c r="Y1355" t="s">
        <v>43</v>
      </c>
      <c r="Z1355" t="s">
        <v>43</v>
      </c>
      <c r="AA1355" t="s">
        <v>43</v>
      </c>
      <c r="AB1355" s="2" t="s">
        <v>43</v>
      </c>
      <c r="AC1355" t="s">
        <v>46</v>
      </c>
      <c r="AD1355" t="s">
        <v>46</v>
      </c>
      <c r="AE1355" t="s">
        <v>46</v>
      </c>
      <c r="AF1355" t="s">
        <v>64</v>
      </c>
      <c r="AG1355" t="s">
        <v>99</v>
      </c>
      <c r="AH1355" s="2" t="s">
        <v>43</v>
      </c>
    </row>
    <row r="1356" spans="1:34" ht="240">
      <c r="A1356" s="6" t="s">
        <v>100</v>
      </c>
      <c r="B1356" s="7">
        <v>46029</v>
      </c>
      <c r="C1356" s="9" t="str">
        <f>HYPERLINK("https://eping.wto.org/en/Search?viewData= G/SPS/N/THA/804"," G/SPS/N/THA/804")</f>
        <v xml:space="preserve"> G/SPS/N/THA/804</v>
      </c>
      <c r="D1356" s="8" t="s">
        <v>5270</v>
      </c>
      <c r="E1356" s="8" t="s">
        <v>5271</v>
      </c>
      <c r="F1356" s="8" t="s">
        <v>5272</v>
      </c>
      <c r="G1356" s="8" t="s">
        <v>5273</v>
      </c>
      <c r="H1356" s="8" t="s">
        <v>43</v>
      </c>
      <c r="I1356" s="8" t="s">
        <v>104</v>
      </c>
      <c r="J1356" s="8" t="s">
        <v>43</v>
      </c>
      <c r="K1356" s="8" t="s">
        <v>530</v>
      </c>
      <c r="L1356" s="6" t="s">
        <v>43</v>
      </c>
      <c r="M1356" s="7" t="s">
        <v>43</v>
      </c>
      <c r="N1356" s="7">
        <v>42872</v>
      </c>
      <c r="O1356" s="7">
        <v>42896</v>
      </c>
      <c r="P1356" s="6" t="s">
        <v>62</v>
      </c>
      <c r="Q1356" s="8" t="s">
        <v>5274</v>
      </c>
      <c r="R1356" t="str">
        <f>HYPERLINK("https://docs.wto.org/imrd/directdoc.asp?DDFDocuments/t/G/SPS/NTHA804.docx", "https://docs.wto.org/imrd/directdoc.asp?DDFDocuments/t/G/SPS/NTHA804.docx")</f>
        <v>https://docs.wto.org/imrd/directdoc.asp?DDFDocuments/t/G/SPS/NTHA804.docx</v>
      </c>
      <c r="S1356" t="str">
        <f>HYPERLINK("https://docs.wto.org/imrd/directdoc.asp?DDFDocuments/u/G/SPS/NTHA804.docx", "https://docs.wto.org/imrd/directdoc.asp?DDFDocuments/u/G/SPS/NTHA804.docx")</f>
        <v>https://docs.wto.org/imrd/directdoc.asp?DDFDocuments/u/G/SPS/NTHA804.docx</v>
      </c>
      <c r="T1356" t="str">
        <f>HYPERLINK("https://docs.wto.org/imrd/directdoc.asp?DDFDocuments/v/G/SPS/NTHA804.docx", "https://docs.wto.org/imrd/directdoc.asp?DDFDocuments/v/G/SPS/NTHA804.docx")</f>
        <v>https://docs.wto.org/imrd/directdoc.asp?DDFDocuments/v/G/SPS/NTHA804.docx</v>
      </c>
      <c r="U1356" t="s">
        <v>43</v>
      </c>
      <c r="V1356" t="s">
        <v>43</v>
      </c>
      <c r="W1356" t="s">
        <v>43</v>
      </c>
      <c r="X1356" t="s">
        <v>43</v>
      </c>
      <c r="Y1356" t="s">
        <v>43</v>
      </c>
      <c r="Z1356" t="s">
        <v>43</v>
      </c>
      <c r="AA1356" t="s">
        <v>43</v>
      </c>
      <c r="AB1356" s="2" t="s">
        <v>43</v>
      </c>
      <c r="AC1356" t="s">
        <v>46</v>
      </c>
      <c r="AD1356" t="s">
        <v>46</v>
      </c>
      <c r="AE1356" t="s">
        <v>46</v>
      </c>
      <c r="AF1356" t="s">
        <v>64</v>
      </c>
      <c r="AG1356" t="s">
        <v>99</v>
      </c>
      <c r="AH1356" s="2" t="s">
        <v>43</v>
      </c>
    </row>
    <row r="1357" spans="1:34" ht="210">
      <c r="A1357" s="6" t="s">
        <v>1917</v>
      </c>
      <c r="B1357" s="7">
        <v>46029</v>
      </c>
      <c r="C1357" s="9" t="str">
        <f>HYPERLINK("https://eping.wto.org/en/Search?viewData= G/TBT/N/EGY/3/Add.97"," G/TBT/N/EGY/3/Add.97")</f>
        <v xml:space="preserve"> G/TBT/N/EGY/3/Add.97</v>
      </c>
      <c r="D1357" s="8" t="s">
        <v>5275</v>
      </c>
      <c r="E1357" s="8" t="s">
        <v>5276</v>
      </c>
      <c r="F1357" s="8" t="s">
        <v>5015</v>
      </c>
      <c r="G1357" s="8" t="s">
        <v>43</v>
      </c>
      <c r="H1357" s="8" t="s">
        <v>5016</v>
      </c>
      <c r="I1357" s="8" t="s">
        <v>43</v>
      </c>
      <c r="J1357" s="8"/>
      <c r="K1357" s="8" t="s">
        <v>43</v>
      </c>
      <c r="L1357" s="6"/>
      <c r="M1357" s="7" t="s">
        <v>43</v>
      </c>
      <c r="N1357" s="7"/>
      <c r="O1357" s="7"/>
      <c r="P1357" s="6" t="s">
        <v>44</v>
      </c>
      <c r="Q1357" s="6"/>
      <c r="R1357" t="str">
        <f>HYPERLINK("https://docs.wto.org/imrd/directdoc.asp?DDFDocuments/t/G/TBTN05/EGY3A97.docx", "https://docs.wto.org/imrd/directdoc.asp?DDFDocuments/t/G/TBTN05/EGY3A97.docx")</f>
        <v>https://docs.wto.org/imrd/directdoc.asp?DDFDocuments/t/G/TBTN05/EGY3A97.docx</v>
      </c>
      <c r="S1357" t="str">
        <f>HYPERLINK("https://docs.wto.org/imrd/directdoc.asp?DDFDocuments/u/G/TBTN05/EGY3A97.docx", "https://docs.wto.org/imrd/directdoc.asp?DDFDocuments/u/G/TBTN05/EGY3A97.docx")</f>
        <v>https://docs.wto.org/imrd/directdoc.asp?DDFDocuments/u/G/TBTN05/EGY3A97.docx</v>
      </c>
      <c r="T1357" t="str">
        <f>HYPERLINK("https://docs.wto.org/imrd/directdoc.asp?DDFDocuments/v/G/TBTN05/EGY3A97.docx", "https://docs.wto.org/imrd/directdoc.asp?DDFDocuments/v/G/TBTN05/EGY3A97.docx")</f>
        <v>https://docs.wto.org/imrd/directdoc.asp?DDFDocuments/v/G/TBTN05/EGY3A97.docx</v>
      </c>
      <c r="U1357" t="s">
        <v>64</v>
      </c>
      <c r="V1357" t="s">
        <v>46</v>
      </c>
      <c r="W1357" t="s">
        <v>46</v>
      </c>
      <c r="X1357" t="s">
        <v>46</v>
      </c>
      <c r="Y1357" t="s">
        <v>46</v>
      </c>
      <c r="Z1357" t="s">
        <v>46</v>
      </c>
      <c r="AA1357" t="s">
        <v>46</v>
      </c>
      <c r="AB1357" s="2" t="s">
        <v>43</v>
      </c>
      <c r="AC1357" t="s">
        <v>43</v>
      </c>
      <c r="AD1357" t="s">
        <v>43</v>
      </c>
      <c r="AE1357" t="s">
        <v>43</v>
      </c>
      <c r="AF1357" t="s">
        <v>43</v>
      </c>
      <c r="AG1357" t="s">
        <v>43</v>
      </c>
      <c r="AH1357" s="2" t="s">
        <v>43</v>
      </c>
    </row>
    <row r="1358" spans="1:34" ht="210">
      <c r="A1358" s="6" t="s">
        <v>1917</v>
      </c>
      <c r="B1358" s="7">
        <v>46029</v>
      </c>
      <c r="C1358" s="9" t="str">
        <f>HYPERLINK("https://eping.wto.org/en/Search?viewData= G/TBT/N/EGY/3/Add.99"," G/TBT/N/EGY/3/Add.99")</f>
        <v xml:space="preserve"> G/TBT/N/EGY/3/Add.99</v>
      </c>
      <c r="D1358" s="8" t="s">
        <v>5277</v>
      </c>
      <c r="E1358" s="8" t="s">
        <v>5278</v>
      </c>
      <c r="F1358" s="8" t="s">
        <v>5015</v>
      </c>
      <c r="G1358" s="8" t="s">
        <v>43</v>
      </c>
      <c r="H1358" s="8" t="s">
        <v>5016</v>
      </c>
      <c r="I1358" s="8" t="s">
        <v>43</v>
      </c>
      <c r="J1358" s="8"/>
      <c r="K1358" s="8" t="s">
        <v>43</v>
      </c>
      <c r="L1358" s="6"/>
      <c r="M1358" s="7" t="s">
        <v>43</v>
      </c>
      <c r="N1358" s="7"/>
      <c r="O1358" s="7"/>
      <c r="P1358" s="6" t="s">
        <v>44</v>
      </c>
      <c r="Q1358" s="6"/>
      <c r="R1358" t="str">
        <f>HYPERLINK("https://docs.wto.org/imrd/directdoc.asp?DDFDocuments/t/G/TBTN05/EGY3A99.docx", "https://docs.wto.org/imrd/directdoc.asp?DDFDocuments/t/G/TBTN05/EGY3A99.docx")</f>
        <v>https://docs.wto.org/imrd/directdoc.asp?DDFDocuments/t/G/TBTN05/EGY3A99.docx</v>
      </c>
      <c r="S1358" t="str">
        <f>HYPERLINK("https://docs.wto.org/imrd/directdoc.asp?DDFDocuments/u/G/TBTN05/EGY3A99.docx", "https://docs.wto.org/imrd/directdoc.asp?DDFDocuments/u/G/TBTN05/EGY3A99.docx")</f>
        <v>https://docs.wto.org/imrd/directdoc.asp?DDFDocuments/u/G/TBTN05/EGY3A99.docx</v>
      </c>
      <c r="T1358" t="str">
        <f>HYPERLINK("https://docs.wto.org/imrd/directdoc.asp?DDFDocuments/v/G/TBTN05/EGY3A99.docx", "https://docs.wto.org/imrd/directdoc.asp?DDFDocuments/v/G/TBTN05/EGY3A99.docx")</f>
        <v>https://docs.wto.org/imrd/directdoc.asp?DDFDocuments/v/G/TBTN05/EGY3A99.docx</v>
      </c>
      <c r="U1358" t="s">
        <v>64</v>
      </c>
      <c r="V1358" t="s">
        <v>46</v>
      </c>
      <c r="W1358" t="s">
        <v>46</v>
      </c>
      <c r="X1358" t="s">
        <v>46</v>
      </c>
      <c r="Y1358" t="s">
        <v>46</v>
      </c>
      <c r="Z1358" t="s">
        <v>46</v>
      </c>
      <c r="AA1358" t="s">
        <v>46</v>
      </c>
      <c r="AB1358" s="2" t="s">
        <v>43</v>
      </c>
      <c r="AC1358" t="s">
        <v>43</v>
      </c>
      <c r="AD1358" t="s">
        <v>43</v>
      </c>
      <c r="AE1358" t="s">
        <v>43</v>
      </c>
      <c r="AF1358" t="s">
        <v>43</v>
      </c>
      <c r="AG1358" t="s">
        <v>43</v>
      </c>
      <c r="AH1358" s="2" t="s">
        <v>43</v>
      </c>
    </row>
    <row r="1359" spans="1:34" ht="210">
      <c r="A1359" s="6" t="s">
        <v>146</v>
      </c>
      <c r="B1359" s="7">
        <v>46029</v>
      </c>
      <c r="C1359" s="9" t="str">
        <f>HYPERLINK("https://eping.wto.org/en/Search?viewData= G/SPS/N/CHL/857/Add.1"," G/SPS/N/CHL/857/Add.1")</f>
        <v xml:space="preserve"> G/SPS/N/CHL/857/Add.1</v>
      </c>
      <c r="D1359" s="8" t="s">
        <v>5279</v>
      </c>
      <c r="E1359" s="8" t="s">
        <v>5279</v>
      </c>
      <c r="F1359" s="8" t="s">
        <v>5280</v>
      </c>
      <c r="G1359" s="8" t="s">
        <v>4217</v>
      </c>
      <c r="H1359" s="8" t="s">
        <v>43</v>
      </c>
      <c r="I1359" s="8" t="s">
        <v>254</v>
      </c>
      <c r="J1359" s="8" t="s">
        <v>43</v>
      </c>
      <c r="K1359" s="8" t="s">
        <v>2004</v>
      </c>
      <c r="L1359" s="6"/>
      <c r="M1359" s="7" t="s">
        <v>43</v>
      </c>
      <c r="N1359" s="7"/>
      <c r="O1359" s="7"/>
      <c r="P1359" s="6" t="s">
        <v>44</v>
      </c>
      <c r="Q1359" s="8" t="s">
        <v>5281</v>
      </c>
      <c r="R1359" t="str">
        <f>HYPERLINK("https://docs.wto.org/imrd/directdoc.asp?DDFDocuments/t/G/SPS/NCHL857A1.docx", "https://docs.wto.org/imrd/directdoc.asp?DDFDocuments/t/G/SPS/NCHL857A1.docx")</f>
        <v>https://docs.wto.org/imrd/directdoc.asp?DDFDocuments/t/G/SPS/NCHL857A1.docx</v>
      </c>
      <c r="S1359" t="str">
        <f>HYPERLINK("https://docs.wto.org/imrd/directdoc.asp?DDFDocuments/u/G/SPS/NCHL857A1.docx", "https://docs.wto.org/imrd/directdoc.asp?DDFDocuments/u/G/SPS/NCHL857A1.docx")</f>
        <v>https://docs.wto.org/imrd/directdoc.asp?DDFDocuments/u/G/SPS/NCHL857A1.docx</v>
      </c>
      <c r="T1359" t="str">
        <f>HYPERLINK("https://docs.wto.org/imrd/directdoc.asp?DDFDocuments/v/G/SPS/NCHL857A1.docx", "https://docs.wto.org/imrd/directdoc.asp?DDFDocuments/v/G/SPS/NCHL857A1.docx")</f>
        <v>https://docs.wto.org/imrd/directdoc.asp?DDFDocuments/v/G/SPS/NCHL857A1.docx</v>
      </c>
      <c r="U1359" t="s">
        <v>43</v>
      </c>
      <c r="V1359" t="s">
        <v>43</v>
      </c>
      <c r="W1359" t="s">
        <v>43</v>
      </c>
      <c r="X1359" t="s">
        <v>43</v>
      </c>
      <c r="Y1359" t="s">
        <v>43</v>
      </c>
      <c r="Z1359" t="s">
        <v>43</v>
      </c>
      <c r="AA1359" t="s">
        <v>43</v>
      </c>
      <c r="AB1359" s="2" t="s">
        <v>43</v>
      </c>
      <c r="AC1359" t="s">
        <v>43</v>
      </c>
      <c r="AD1359" t="s">
        <v>43</v>
      </c>
      <c r="AE1359" t="s">
        <v>43</v>
      </c>
      <c r="AF1359" t="s">
        <v>43</v>
      </c>
      <c r="AG1359" t="s">
        <v>43</v>
      </c>
      <c r="AH1359" s="2" t="s">
        <v>43</v>
      </c>
    </row>
    <row r="1360" spans="1:34" ht="90">
      <c r="A1360" s="6" t="s">
        <v>390</v>
      </c>
      <c r="B1360" s="7">
        <v>46029</v>
      </c>
      <c r="C1360" s="9" t="str">
        <f>HYPERLINK("https://eping.wto.org/en/Search?viewData= G/TBT/N/BDI/704, G/TBT/N/KEN/1968, G/TBT/N/RWA/1334, G/TBT/N/TZA/1484, G/TBT/N/UGA/2302"," G/TBT/N/BDI/704, G/TBT/N/KEN/1968, G/TBT/N/RWA/1334, G/TBT/N/TZA/1484, G/TBT/N/UGA/2302")</f>
        <v xml:space="preserve"> G/TBT/N/BDI/704, G/TBT/N/KEN/1968, G/TBT/N/RWA/1334, G/TBT/N/TZA/1484, G/TBT/N/UGA/2302</v>
      </c>
      <c r="D1360" s="8" t="s">
        <v>5168</v>
      </c>
      <c r="E1360" s="8" t="s">
        <v>5169</v>
      </c>
      <c r="F1360" s="8" t="s">
        <v>5170</v>
      </c>
      <c r="G1360" s="8" t="s">
        <v>5171</v>
      </c>
      <c r="H1360" s="8" t="s">
        <v>4990</v>
      </c>
      <c r="I1360" s="8" t="s">
        <v>4991</v>
      </c>
      <c r="J1360" s="8" t="s">
        <v>43</v>
      </c>
      <c r="K1360" s="8" t="s">
        <v>43</v>
      </c>
      <c r="L1360" s="6"/>
      <c r="M1360" s="7">
        <v>46089</v>
      </c>
      <c r="N1360" s="7" t="s">
        <v>79</v>
      </c>
      <c r="O1360" s="7" t="s">
        <v>79</v>
      </c>
      <c r="P1360" s="6" t="s">
        <v>62</v>
      </c>
      <c r="Q1360" s="8" t="s">
        <v>5172</v>
      </c>
      <c r="R1360" t="str">
        <f>HYPERLINK("https://docs.wto.org/imrd/directdoc.asp?DDFDocuments/t/G/TBTN26/BDI704.docx", "https://docs.wto.org/imrd/directdoc.asp?DDFDocuments/t/G/TBTN26/BDI704.docx")</f>
        <v>https://docs.wto.org/imrd/directdoc.asp?DDFDocuments/t/G/TBTN26/BDI704.docx</v>
      </c>
      <c r="S1360" t="str">
        <f>HYPERLINK("https://docs.wto.org/imrd/directdoc.asp?DDFDocuments/u/G/TBTN26/BDI704.docx", "https://docs.wto.org/imrd/directdoc.asp?DDFDocuments/u/G/TBTN26/BDI704.docx")</f>
        <v>https://docs.wto.org/imrd/directdoc.asp?DDFDocuments/u/G/TBTN26/BDI704.docx</v>
      </c>
      <c r="T1360" t="str">
        <f>HYPERLINK("https://docs.wto.org/imrd/directdoc.asp?DDFDocuments/v/G/TBTN26/BDI704.docx", "https://docs.wto.org/imrd/directdoc.asp?DDFDocuments/v/G/TBTN26/BDI704.docx")</f>
        <v>https://docs.wto.org/imrd/directdoc.asp?DDFDocuments/v/G/TBTN26/BDI704.docx</v>
      </c>
      <c r="U1360" t="s">
        <v>64</v>
      </c>
      <c r="V1360" t="s">
        <v>46</v>
      </c>
      <c r="W1360" t="s">
        <v>64</v>
      </c>
      <c r="X1360" t="s">
        <v>46</v>
      </c>
      <c r="Y1360" t="s">
        <v>46</v>
      </c>
      <c r="Z1360" t="s">
        <v>46</v>
      </c>
      <c r="AA1360" t="s">
        <v>46</v>
      </c>
      <c r="AB1360" s="2" t="s">
        <v>5173</v>
      </c>
      <c r="AC1360" t="s">
        <v>43</v>
      </c>
      <c r="AD1360" t="s">
        <v>43</v>
      </c>
      <c r="AE1360" t="s">
        <v>43</v>
      </c>
      <c r="AF1360" t="s">
        <v>43</v>
      </c>
      <c r="AG1360" t="s">
        <v>43</v>
      </c>
      <c r="AH1360" s="2" t="s">
        <v>43</v>
      </c>
    </row>
    <row r="1361" spans="1:34" ht="165">
      <c r="A1361" s="6" t="s">
        <v>122</v>
      </c>
      <c r="B1361" s="7">
        <v>46029</v>
      </c>
      <c r="C1361" s="9" t="str">
        <f>HYPERLINK("https://eping.wto.org/en/Search?viewData= G/TBT/N/TUR/115/Add.1"," G/TBT/N/TUR/115/Add.1")</f>
        <v xml:space="preserve"> G/TBT/N/TUR/115/Add.1</v>
      </c>
      <c r="D1361" s="8" t="s">
        <v>5282</v>
      </c>
      <c r="E1361" s="8" t="s">
        <v>5283</v>
      </c>
      <c r="F1361" s="8" t="s">
        <v>5284</v>
      </c>
      <c r="G1361" s="8" t="s">
        <v>43</v>
      </c>
      <c r="H1361" s="8" t="s">
        <v>2821</v>
      </c>
      <c r="I1361" s="8" t="s">
        <v>275</v>
      </c>
      <c r="J1361" s="8" t="s">
        <v>43</v>
      </c>
      <c r="K1361" s="8" t="s">
        <v>1029</v>
      </c>
      <c r="L1361" s="6"/>
      <c r="M1361" s="7">
        <v>46087</v>
      </c>
      <c r="N1361" s="7"/>
      <c r="O1361" s="7"/>
      <c r="P1361" s="6" t="s">
        <v>44</v>
      </c>
      <c r="Q1361" s="8" t="s">
        <v>5285</v>
      </c>
      <c r="R1361" t="str">
        <f>HYPERLINK("https://docs.wto.org/imrd/directdoc.asp?DDFDocuments/t/G/TBTN18/TUR115A1.docx", "https://docs.wto.org/imrd/directdoc.asp?DDFDocuments/t/G/TBTN18/TUR115A1.docx")</f>
        <v>https://docs.wto.org/imrd/directdoc.asp?DDFDocuments/t/G/TBTN18/TUR115A1.docx</v>
      </c>
      <c r="S1361" t="str">
        <f>HYPERLINK("https://docs.wto.org/imrd/directdoc.asp?DDFDocuments/u/G/TBTN18/TUR115A1.docx", "https://docs.wto.org/imrd/directdoc.asp?DDFDocuments/u/G/TBTN18/TUR115A1.docx")</f>
        <v>https://docs.wto.org/imrd/directdoc.asp?DDFDocuments/u/G/TBTN18/TUR115A1.docx</v>
      </c>
      <c r="T1361" t="str">
        <f>HYPERLINK("https://docs.wto.org/imrd/directdoc.asp?DDFDocuments/v/G/TBTN18/TUR115A1.docx", "https://docs.wto.org/imrd/directdoc.asp?DDFDocuments/v/G/TBTN18/TUR115A1.docx")</f>
        <v>https://docs.wto.org/imrd/directdoc.asp?DDFDocuments/v/G/TBTN18/TUR115A1.docx</v>
      </c>
      <c r="U1361" t="s">
        <v>64</v>
      </c>
      <c r="V1361" t="s">
        <v>46</v>
      </c>
      <c r="W1361" t="s">
        <v>46</v>
      </c>
      <c r="X1361" t="s">
        <v>46</v>
      </c>
      <c r="Y1361" t="s">
        <v>46</v>
      </c>
      <c r="Z1361" t="s">
        <v>46</v>
      </c>
      <c r="AA1361" t="s">
        <v>46</v>
      </c>
      <c r="AB1361" s="2" t="s">
        <v>43</v>
      </c>
      <c r="AC1361" t="s">
        <v>43</v>
      </c>
      <c r="AD1361" t="s">
        <v>43</v>
      </c>
      <c r="AE1361" t="s">
        <v>43</v>
      </c>
      <c r="AF1361" t="s">
        <v>43</v>
      </c>
      <c r="AG1361" t="s">
        <v>43</v>
      </c>
      <c r="AH1361" s="2" t="s">
        <v>43</v>
      </c>
    </row>
    <row r="1362" spans="1:34" ht="90">
      <c r="A1362" s="6" t="s">
        <v>1917</v>
      </c>
      <c r="B1362" s="7">
        <v>46028</v>
      </c>
      <c r="C1362" s="9" t="str">
        <f>HYPERLINK("https://eping.wto.org/en/Search?viewData= G/TBT/N/EGY/569"," G/TBT/N/EGY/569")</f>
        <v xml:space="preserve"> G/TBT/N/EGY/569</v>
      </c>
      <c r="D1362" s="8" t="s">
        <v>5286</v>
      </c>
      <c r="E1362" s="8" t="s">
        <v>5287</v>
      </c>
      <c r="F1362" s="8" t="s">
        <v>3290</v>
      </c>
      <c r="G1362" s="8" t="s">
        <v>43</v>
      </c>
      <c r="H1362" s="8" t="s">
        <v>5288</v>
      </c>
      <c r="I1362" s="8" t="s">
        <v>129</v>
      </c>
      <c r="J1362" s="8" t="s">
        <v>5289</v>
      </c>
      <c r="K1362" s="8" t="s">
        <v>350</v>
      </c>
      <c r="L1362" s="6"/>
      <c r="M1362" s="7">
        <v>46088</v>
      </c>
      <c r="N1362" s="7" t="s">
        <v>79</v>
      </c>
      <c r="O1362" s="7" t="s">
        <v>79</v>
      </c>
      <c r="P1362" s="6" t="s">
        <v>62</v>
      </c>
      <c r="Q1362" s="6"/>
      <c r="R1362" t="str">
        <f>HYPERLINK("https://docs.wto.org/imrd/directdoc.asp?DDFDocuments/t/G/TBTN26/EGY569.docx", "https://docs.wto.org/imrd/directdoc.asp?DDFDocuments/t/G/TBTN26/EGY569.docx")</f>
        <v>https://docs.wto.org/imrd/directdoc.asp?DDFDocuments/t/G/TBTN26/EGY569.docx</v>
      </c>
      <c r="S1362" t="str">
        <f>HYPERLINK("https://docs.wto.org/imrd/directdoc.asp?DDFDocuments/u/G/TBTN26/EGY569.docx", "https://docs.wto.org/imrd/directdoc.asp?DDFDocuments/u/G/TBTN26/EGY569.docx")</f>
        <v>https://docs.wto.org/imrd/directdoc.asp?DDFDocuments/u/G/TBTN26/EGY569.docx</v>
      </c>
      <c r="T1362" t="str">
        <f>HYPERLINK("https://docs.wto.org/imrd/directdoc.asp?DDFDocuments/v/G/TBTN26/EGY569.docx", "https://docs.wto.org/imrd/directdoc.asp?DDFDocuments/v/G/TBTN26/EGY569.docx")</f>
        <v>https://docs.wto.org/imrd/directdoc.asp?DDFDocuments/v/G/TBTN26/EGY569.docx</v>
      </c>
      <c r="U1362" t="s">
        <v>64</v>
      </c>
      <c r="V1362" t="s">
        <v>46</v>
      </c>
      <c r="W1362" t="s">
        <v>46</v>
      </c>
      <c r="X1362" t="s">
        <v>46</v>
      </c>
      <c r="Y1362" t="s">
        <v>46</v>
      </c>
      <c r="Z1362" t="s">
        <v>46</v>
      </c>
      <c r="AA1362" t="s">
        <v>46</v>
      </c>
      <c r="AB1362" s="2" t="s">
        <v>5290</v>
      </c>
      <c r="AC1362" t="s">
        <v>43</v>
      </c>
      <c r="AD1362" t="s">
        <v>43</v>
      </c>
      <c r="AE1362" t="s">
        <v>43</v>
      </c>
      <c r="AF1362" t="s">
        <v>43</v>
      </c>
      <c r="AG1362" t="s">
        <v>43</v>
      </c>
      <c r="AH1362" s="2" t="s">
        <v>43</v>
      </c>
    </row>
    <row r="1363" spans="1:34" ht="240">
      <c r="A1363" s="6" t="s">
        <v>892</v>
      </c>
      <c r="B1363" s="7">
        <v>46028</v>
      </c>
      <c r="C1363" s="9" t="str">
        <f>HYPERLINK("https://eping.wto.org/en/Search?viewData= G/TBT/N/PAN/141"," G/TBT/N/PAN/141")</f>
        <v xml:space="preserve"> G/TBT/N/PAN/141</v>
      </c>
      <c r="D1363" s="8" t="s">
        <v>5291</v>
      </c>
      <c r="E1363" s="8" t="s">
        <v>5292</v>
      </c>
      <c r="F1363" s="8" t="s">
        <v>1482</v>
      </c>
      <c r="G1363" s="8" t="s">
        <v>43</v>
      </c>
      <c r="H1363" s="8" t="s">
        <v>459</v>
      </c>
      <c r="I1363" s="8" t="s">
        <v>1483</v>
      </c>
      <c r="J1363" s="8" t="s">
        <v>43</v>
      </c>
      <c r="K1363" s="8" t="s">
        <v>240</v>
      </c>
      <c r="L1363" s="6"/>
      <c r="M1363" s="7">
        <v>46088</v>
      </c>
      <c r="N1363" s="7" t="s">
        <v>79</v>
      </c>
      <c r="O1363" s="7" t="s">
        <v>79</v>
      </c>
      <c r="P1363" s="6" t="s">
        <v>62</v>
      </c>
      <c r="Q1363" s="8" t="s">
        <v>5293</v>
      </c>
      <c r="R1363" t="str">
        <f>HYPERLINK("https://docs.wto.org/imrd/directdoc.asp?DDFDocuments/t/G/TBTN26/PAN141.docx", "https://docs.wto.org/imrd/directdoc.asp?DDFDocuments/t/G/TBTN26/PAN141.docx")</f>
        <v>https://docs.wto.org/imrd/directdoc.asp?DDFDocuments/t/G/TBTN26/PAN141.docx</v>
      </c>
      <c r="S1363" t="str">
        <f>HYPERLINK("https://docs.wto.org/imrd/directdoc.asp?DDFDocuments/u/G/TBTN26/PAN141.docx", "https://docs.wto.org/imrd/directdoc.asp?DDFDocuments/u/G/TBTN26/PAN141.docx")</f>
        <v>https://docs.wto.org/imrd/directdoc.asp?DDFDocuments/u/G/TBTN26/PAN141.docx</v>
      </c>
      <c r="T1363" t="str">
        <f>HYPERLINK("https://docs.wto.org/imrd/directdoc.asp?DDFDocuments/v/G/TBTN26/PAN141.docx", "https://docs.wto.org/imrd/directdoc.asp?DDFDocuments/v/G/TBTN26/PAN141.docx")</f>
        <v>https://docs.wto.org/imrd/directdoc.asp?DDFDocuments/v/G/TBTN26/PAN141.docx</v>
      </c>
      <c r="U1363" t="s">
        <v>64</v>
      </c>
      <c r="V1363" t="s">
        <v>46</v>
      </c>
      <c r="W1363" t="s">
        <v>46</v>
      </c>
      <c r="X1363" t="s">
        <v>46</v>
      </c>
      <c r="Y1363" t="s">
        <v>46</v>
      </c>
      <c r="Z1363" t="s">
        <v>46</v>
      </c>
      <c r="AA1363" t="s">
        <v>46</v>
      </c>
      <c r="AB1363" s="2" t="s">
        <v>5294</v>
      </c>
      <c r="AC1363" t="s">
        <v>43</v>
      </c>
      <c r="AD1363" t="s">
        <v>43</v>
      </c>
      <c r="AE1363" t="s">
        <v>43</v>
      </c>
      <c r="AF1363" t="s">
        <v>43</v>
      </c>
      <c r="AG1363" t="s">
        <v>43</v>
      </c>
      <c r="AH1363" s="2" t="s">
        <v>43</v>
      </c>
    </row>
    <row r="1364" spans="1:34" ht="409.5">
      <c r="A1364" s="6" t="s">
        <v>124</v>
      </c>
      <c r="B1364" s="7">
        <v>46028</v>
      </c>
      <c r="C1364" s="9" t="str">
        <f>HYPERLINK("https://eping.wto.org/en/Search?viewData= G/TBT/N/BDI/701, G/TBT/N/KEN/1965, G/TBT/N/RWA/1331, G/TBT/N/TZA/1481, G/TBT/N/UGA/2299"," G/TBT/N/BDI/701, G/TBT/N/KEN/1965, G/TBT/N/RWA/1331, G/TBT/N/TZA/1481, G/TBT/N/UGA/2299")</f>
        <v xml:space="preserve"> G/TBT/N/BDI/701, G/TBT/N/KEN/1965, G/TBT/N/RWA/1331, G/TBT/N/TZA/1481, G/TBT/N/UGA/2299</v>
      </c>
      <c r="D1364" s="8" t="s">
        <v>5295</v>
      </c>
      <c r="E1364" s="8" t="s">
        <v>5296</v>
      </c>
      <c r="F1364" s="8" t="s">
        <v>2819</v>
      </c>
      <c r="G1364" s="8" t="s">
        <v>5297</v>
      </c>
      <c r="H1364" s="8" t="s">
        <v>431</v>
      </c>
      <c r="I1364" s="8" t="s">
        <v>2838</v>
      </c>
      <c r="J1364" s="8" t="s">
        <v>43</v>
      </c>
      <c r="K1364" s="8" t="s">
        <v>240</v>
      </c>
      <c r="L1364" s="6"/>
      <c r="M1364" s="7">
        <v>46088</v>
      </c>
      <c r="N1364" s="7" t="s">
        <v>79</v>
      </c>
      <c r="O1364" s="7" t="s">
        <v>114</v>
      </c>
      <c r="P1364" s="6" t="s">
        <v>62</v>
      </c>
      <c r="Q1364" s="8" t="s">
        <v>5298</v>
      </c>
      <c r="R1364" t="str">
        <f>HYPERLINK("https://docs.wto.org/imrd/directdoc.asp?DDFDocuments/t/G/TBTN26/BDI701.docx", "https://docs.wto.org/imrd/directdoc.asp?DDFDocuments/t/G/TBTN26/BDI701.docx")</f>
        <v>https://docs.wto.org/imrd/directdoc.asp?DDFDocuments/t/G/TBTN26/BDI701.docx</v>
      </c>
      <c r="S1364" t="str">
        <f>HYPERLINK("https://docs.wto.org/imrd/directdoc.asp?DDFDocuments/u/G/TBTN26/BDI701.docx", "https://docs.wto.org/imrd/directdoc.asp?DDFDocuments/u/G/TBTN26/BDI701.docx")</f>
        <v>https://docs.wto.org/imrd/directdoc.asp?DDFDocuments/u/G/TBTN26/BDI701.docx</v>
      </c>
      <c r="T1364" t="str">
        <f>HYPERLINK("https://docs.wto.org/imrd/directdoc.asp?DDFDocuments/v/G/TBTN26/BDI701.docx", "https://docs.wto.org/imrd/directdoc.asp?DDFDocuments/v/G/TBTN26/BDI701.docx")</f>
        <v>https://docs.wto.org/imrd/directdoc.asp?DDFDocuments/v/G/TBTN26/BDI701.docx</v>
      </c>
      <c r="U1364" t="s">
        <v>64</v>
      </c>
      <c r="V1364" t="s">
        <v>46</v>
      </c>
      <c r="W1364" t="s">
        <v>46</v>
      </c>
      <c r="X1364" t="s">
        <v>46</v>
      </c>
      <c r="Y1364" t="s">
        <v>46</v>
      </c>
      <c r="Z1364" t="s">
        <v>46</v>
      </c>
      <c r="AA1364" t="s">
        <v>46</v>
      </c>
      <c r="AB1364" s="2" t="s">
        <v>5299</v>
      </c>
      <c r="AC1364" t="s">
        <v>43</v>
      </c>
      <c r="AD1364" t="s">
        <v>43</v>
      </c>
      <c r="AE1364" t="s">
        <v>43</v>
      </c>
      <c r="AF1364" t="s">
        <v>43</v>
      </c>
      <c r="AG1364" t="s">
        <v>43</v>
      </c>
      <c r="AH1364" s="2" t="s">
        <v>43</v>
      </c>
    </row>
    <row r="1365" spans="1:34" ht="45">
      <c r="A1365" s="6" t="s">
        <v>390</v>
      </c>
      <c r="B1365" s="7">
        <v>46028</v>
      </c>
      <c r="C1365" s="9" t="str">
        <f>HYPERLINK("https://eping.wto.org/en/Search?viewData= G/SPS/N/TZA/491"," G/SPS/N/TZA/491")</f>
        <v xml:space="preserve"> G/SPS/N/TZA/491</v>
      </c>
      <c r="D1365" s="8" t="s">
        <v>5300</v>
      </c>
      <c r="E1365" s="8" t="s">
        <v>5301</v>
      </c>
      <c r="F1365" s="8" t="s">
        <v>429</v>
      </c>
      <c r="G1365" s="8" t="s">
        <v>430</v>
      </c>
      <c r="H1365" s="8" t="s">
        <v>431</v>
      </c>
      <c r="I1365" s="8" t="s">
        <v>58</v>
      </c>
      <c r="J1365" s="8" t="s">
        <v>43</v>
      </c>
      <c r="K1365" s="8" t="s">
        <v>157</v>
      </c>
      <c r="L1365" s="6" t="s">
        <v>43</v>
      </c>
      <c r="M1365" s="7">
        <v>46088</v>
      </c>
      <c r="N1365" s="7" t="s">
        <v>396</v>
      </c>
      <c r="O1365" s="7" t="s">
        <v>304</v>
      </c>
      <c r="P1365" s="6" t="s">
        <v>62</v>
      </c>
      <c r="Q1365" s="8" t="s">
        <v>5302</v>
      </c>
      <c r="R1365" t="str">
        <f>HYPERLINK("https://docs.wto.org/imrd/directdoc.asp?DDFDocuments/t/G/SPS/NTZA491.docx", "https://docs.wto.org/imrd/directdoc.asp?DDFDocuments/t/G/SPS/NTZA491.docx")</f>
        <v>https://docs.wto.org/imrd/directdoc.asp?DDFDocuments/t/G/SPS/NTZA491.docx</v>
      </c>
      <c r="S1365" t="str">
        <f>HYPERLINK("https://docs.wto.org/imrd/directdoc.asp?DDFDocuments/u/G/SPS/NTZA491.docx", "https://docs.wto.org/imrd/directdoc.asp?DDFDocuments/u/G/SPS/NTZA491.docx")</f>
        <v>https://docs.wto.org/imrd/directdoc.asp?DDFDocuments/u/G/SPS/NTZA491.docx</v>
      </c>
      <c r="T1365" t="str">
        <f>HYPERLINK("https://docs.wto.org/imrd/directdoc.asp?DDFDocuments/v/G/SPS/NTZA491.docx", "https://docs.wto.org/imrd/directdoc.asp?DDFDocuments/v/G/SPS/NTZA491.docx")</f>
        <v>https://docs.wto.org/imrd/directdoc.asp?DDFDocuments/v/G/SPS/NTZA491.docx</v>
      </c>
      <c r="U1365" t="s">
        <v>43</v>
      </c>
      <c r="V1365" t="s">
        <v>43</v>
      </c>
      <c r="W1365" t="s">
        <v>43</v>
      </c>
      <c r="X1365" t="s">
        <v>43</v>
      </c>
      <c r="Y1365" t="s">
        <v>43</v>
      </c>
      <c r="Z1365" t="s">
        <v>43</v>
      </c>
      <c r="AA1365" t="s">
        <v>43</v>
      </c>
      <c r="AB1365" s="2" t="s">
        <v>43</v>
      </c>
      <c r="AC1365" t="s">
        <v>46</v>
      </c>
      <c r="AD1365" t="s">
        <v>46</v>
      </c>
      <c r="AE1365" t="s">
        <v>46</v>
      </c>
      <c r="AF1365" t="s">
        <v>64</v>
      </c>
      <c r="AG1365" t="s">
        <v>99</v>
      </c>
      <c r="AH1365" s="2" t="s">
        <v>43</v>
      </c>
    </row>
    <row r="1366" spans="1:34" ht="60">
      <c r="A1366" s="6" t="s">
        <v>390</v>
      </c>
      <c r="B1366" s="7">
        <v>46028</v>
      </c>
      <c r="C1366" s="9" t="str">
        <f>HYPERLINK("https://eping.wto.org/en/Search?viewData= G/TBT/N/TZA/1474"," G/TBT/N/TZA/1474")</f>
        <v xml:space="preserve"> G/TBT/N/TZA/1474</v>
      </c>
      <c r="D1366" s="8" t="s">
        <v>5303</v>
      </c>
      <c r="E1366" s="8" t="s">
        <v>5304</v>
      </c>
      <c r="F1366" s="8" t="s">
        <v>5305</v>
      </c>
      <c r="G1366" s="8" t="s">
        <v>5306</v>
      </c>
      <c r="H1366" s="8" t="s">
        <v>4410</v>
      </c>
      <c r="I1366" s="8" t="s">
        <v>684</v>
      </c>
      <c r="J1366" s="8" t="s">
        <v>43</v>
      </c>
      <c r="K1366" s="8" t="s">
        <v>43</v>
      </c>
      <c r="L1366" s="6"/>
      <c r="M1366" s="7">
        <v>46088</v>
      </c>
      <c r="N1366" s="7" t="s">
        <v>79</v>
      </c>
      <c r="O1366" s="7" t="s">
        <v>79</v>
      </c>
      <c r="P1366" s="6" t="s">
        <v>62</v>
      </c>
      <c r="Q1366" s="8" t="s">
        <v>5307</v>
      </c>
      <c r="R1366" t="str">
        <f>HYPERLINK("https://docs.wto.org/imrd/directdoc.asp?DDFDocuments/t/G/TBTN26/TZA1474.docx", "https://docs.wto.org/imrd/directdoc.asp?DDFDocuments/t/G/TBTN26/TZA1474.docx")</f>
        <v>https://docs.wto.org/imrd/directdoc.asp?DDFDocuments/t/G/TBTN26/TZA1474.docx</v>
      </c>
      <c r="S1366" t="str">
        <f>HYPERLINK("https://docs.wto.org/imrd/directdoc.asp?DDFDocuments/u/G/TBTN26/TZA1474.docx", "https://docs.wto.org/imrd/directdoc.asp?DDFDocuments/u/G/TBTN26/TZA1474.docx")</f>
        <v>https://docs.wto.org/imrd/directdoc.asp?DDFDocuments/u/G/TBTN26/TZA1474.docx</v>
      </c>
      <c r="T1366" t="str">
        <f>HYPERLINK("https://docs.wto.org/imrd/directdoc.asp?DDFDocuments/v/G/TBTN26/TZA1474.docx", "https://docs.wto.org/imrd/directdoc.asp?DDFDocuments/v/G/TBTN26/TZA1474.docx")</f>
        <v>https://docs.wto.org/imrd/directdoc.asp?DDFDocuments/v/G/TBTN26/TZA1474.docx</v>
      </c>
      <c r="U1366" t="s">
        <v>64</v>
      </c>
      <c r="V1366" t="s">
        <v>46</v>
      </c>
      <c r="W1366" t="s">
        <v>46</v>
      </c>
      <c r="X1366" t="s">
        <v>46</v>
      </c>
      <c r="Y1366" t="s">
        <v>46</v>
      </c>
      <c r="Z1366" t="s">
        <v>46</v>
      </c>
      <c r="AA1366" t="s">
        <v>46</v>
      </c>
      <c r="AB1366" s="2" t="s">
        <v>5308</v>
      </c>
      <c r="AC1366" t="s">
        <v>43</v>
      </c>
      <c r="AD1366" t="s">
        <v>43</v>
      </c>
      <c r="AE1366" t="s">
        <v>43</v>
      </c>
      <c r="AF1366" t="s">
        <v>43</v>
      </c>
      <c r="AG1366" t="s">
        <v>43</v>
      </c>
      <c r="AH1366" s="2" t="s">
        <v>43</v>
      </c>
    </row>
    <row r="1367" spans="1:34" ht="60">
      <c r="A1367" s="6" t="s">
        <v>108</v>
      </c>
      <c r="B1367" s="7">
        <v>46028</v>
      </c>
      <c r="C1367" s="9" t="str">
        <f>HYPERLINK("https://eping.wto.org/en/Search?viewData= G/TBT/N/BDI/697, G/TBT/N/KEN/1959, G/TBT/N/RWA/1327, G/TBT/N/TZA/1477, G/TBT/N/UGA/2295"," G/TBT/N/BDI/697, G/TBT/N/KEN/1959, G/TBT/N/RWA/1327, G/TBT/N/TZA/1477, G/TBT/N/UGA/2295")</f>
        <v xml:space="preserve"> G/TBT/N/BDI/697, G/TBT/N/KEN/1959, G/TBT/N/RWA/1327, G/TBT/N/TZA/1477, G/TBT/N/UGA/2295</v>
      </c>
      <c r="D1367" s="8" t="s">
        <v>5309</v>
      </c>
      <c r="E1367" s="8" t="s">
        <v>5310</v>
      </c>
      <c r="F1367" s="8" t="s">
        <v>4384</v>
      </c>
      <c r="G1367" s="8" t="s">
        <v>43</v>
      </c>
      <c r="H1367" s="8" t="s">
        <v>4385</v>
      </c>
      <c r="I1367" s="8" t="s">
        <v>2058</v>
      </c>
      <c r="J1367" s="8" t="s">
        <v>43</v>
      </c>
      <c r="K1367" s="8" t="s">
        <v>43</v>
      </c>
      <c r="L1367" s="6"/>
      <c r="M1367" s="7">
        <v>46088</v>
      </c>
      <c r="N1367" s="7">
        <v>46112</v>
      </c>
      <c r="O1367" s="7" t="s">
        <v>79</v>
      </c>
      <c r="P1367" s="6" t="s">
        <v>62</v>
      </c>
      <c r="Q1367" s="8" t="s">
        <v>5311</v>
      </c>
      <c r="R1367" t="str">
        <f>HYPERLINK("https://docs.wto.org/imrd/directdoc.asp?DDFDocuments/t/G/TBTN26/BDI697.docx", "https://docs.wto.org/imrd/directdoc.asp?DDFDocuments/t/G/TBTN26/BDI697.docx")</f>
        <v>https://docs.wto.org/imrd/directdoc.asp?DDFDocuments/t/G/TBTN26/BDI697.docx</v>
      </c>
      <c r="S1367" t="str">
        <f>HYPERLINK("https://docs.wto.org/imrd/directdoc.asp?DDFDocuments/u/G/TBTN26/BDI697.docx", "https://docs.wto.org/imrd/directdoc.asp?DDFDocuments/u/G/TBTN26/BDI697.docx")</f>
        <v>https://docs.wto.org/imrd/directdoc.asp?DDFDocuments/u/G/TBTN26/BDI697.docx</v>
      </c>
      <c r="T1367" t="str">
        <f>HYPERLINK("https://docs.wto.org/imrd/directdoc.asp?DDFDocuments/v/G/TBTN26/BDI697.docx", "https://docs.wto.org/imrd/directdoc.asp?DDFDocuments/v/G/TBTN26/BDI697.docx")</f>
        <v>https://docs.wto.org/imrd/directdoc.asp?DDFDocuments/v/G/TBTN26/BDI697.docx</v>
      </c>
      <c r="U1367" t="s">
        <v>64</v>
      </c>
      <c r="V1367" t="s">
        <v>46</v>
      </c>
      <c r="W1367" t="s">
        <v>64</v>
      </c>
      <c r="X1367" t="s">
        <v>46</v>
      </c>
      <c r="Y1367" t="s">
        <v>46</v>
      </c>
      <c r="Z1367" t="s">
        <v>46</v>
      </c>
      <c r="AA1367" t="s">
        <v>46</v>
      </c>
      <c r="AB1367" s="2" t="s">
        <v>4398</v>
      </c>
      <c r="AC1367" t="s">
        <v>43</v>
      </c>
      <c r="AD1367" t="s">
        <v>43</v>
      </c>
      <c r="AE1367" t="s">
        <v>43</v>
      </c>
      <c r="AF1367" t="s">
        <v>43</v>
      </c>
      <c r="AG1367" t="s">
        <v>43</v>
      </c>
      <c r="AH1367" s="2" t="s">
        <v>43</v>
      </c>
    </row>
    <row r="1368" spans="1:34" ht="45">
      <c r="A1368" s="6" t="s">
        <v>509</v>
      </c>
      <c r="B1368" s="7">
        <v>46028</v>
      </c>
      <c r="C1368" s="9" t="str">
        <f>HYPERLINK("https://eping.wto.org/en/Search?viewData= G/TBT/N/BDI/699, G/TBT/N/KEN/1961, G/TBT/N/RWA/1329, G/TBT/N/TZA/1479, G/TBT/N/UGA/2297"," G/TBT/N/BDI/699, G/TBT/N/KEN/1961, G/TBT/N/RWA/1329, G/TBT/N/TZA/1479, G/TBT/N/UGA/2297")</f>
        <v xml:space="preserve"> G/TBT/N/BDI/699, G/TBT/N/KEN/1961, G/TBT/N/RWA/1329, G/TBT/N/TZA/1479, G/TBT/N/UGA/2297</v>
      </c>
      <c r="D1368" s="8" t="s">
        <v>5312</v>
      </c>
      <c r="E1368" s="8" t="s">
        <v>4364</v>
      </c>
      <c r="F1368" s="8" t="s">
        <v>4384</v>
      </c>
      <c r="G1368" s="8" t="s">
        <v>43</v>
      </c>
      <c r="H1368" s="8" t="s">
        <v>4385</v>
      </c>
      <c r="I1368" s="8" t="s">
        <v>2058</v>
      </c>
      <c r="J1368" s="8" t="s">
        <v>43</v>
      </c>
      <c r="K1368" s="8" t="s">
        <v>43</v>
      </c>
      <c r="L1368" s="6"/>
      <c r="M1368" s="7">
        <v>46088</v>
      </c>
      <c r="N1368" s="7">
        <v>46112</v>
      </c>
      <c r="O1368" s="7" t="s">
        <v>79</v>
      </c>
      <c r="P1368" s="6" t="s">
        <v>62</v>
      </c>
      <c r="Q1368" s="8" t="s">
        <v>5313</v>
      </c>
      <c r="R1368" t="str">
        <f>HYPERLINK("https://docs.wto.org/imrd/directdoc.asp?DDFDocuments/t/G/TBTN26/BDI699.docx", "https://docs.wto.org/imrd/directdoc.asp?DDFDocuments/t/G/TBTN26/BDI699.docx")</f>
        <v>https://docs.wto.org/imrd/directdoc.asp?DDFDocuments/t/G/TBTN26/BDI699.docx</v>
      </c>
      <c r="S1368" t="str">
        <f>HYPERLINK("https://docs.wto.org/imrd/directdoc.asp?DDFDocuments/u/G/TBTN26/BDI699.docx", "https://docs.wto.org/imrd/directdoc.asp?DDFDocuments/u/G/TBTN26/BDI699.docx")</f>
        <v>https://docs.wto.org/imrd/directdoc.asp?DDFDocuments/u/G/TBTN26/BDI699.docx</v>
      </c>
      <c r="T1368" t="str">
        <f>HYPERLINK("https://docs.wto.org/imrd/directdoc.asp?DDFDocuments/v/G/TBTN26/BDI699.docx", "https://docs.wto.org/imrd/directdoc.asp?DDFDocuments/v/G/TBTN26/BDI699.docx")</f>
        <v>https://docs.wto.org/imrd/directdoc.asp?DDFDocuments/v/G/TBTN26/BDI699.docx</v>
      </c>
      <c r="U1368" t="s">
        <v>64</v>
      </c>
      <c r="V1368" t="s">
        <v>46</v>
      </c>
      <c r="W1368" t="s">
        <v>46</v>
      </c>
      <c r="X1368" t="s">
        <v>46</v>
      </c>
      <c r="Y1368" t="s">
        <v>46</v>
      </c>
      <c r="Z1368" t="s">
        <v>46</v>
      </c>
      <c r="AA1368" t="s">
        <v>46</v>
      </c>
      <c r="AB1368" s="2" t="s">
        <v>5314</v>
      </c>
      <c r="AC1368" t="s">
        <v>43</v>
      </c>
      <c r="AD1368" t="s">
        <v>43</v>
      </c>
      <c r="AE1368" t="s">
        <v>43</v>
      </c>
      <c r="AF1368" t="s">
        <v>43</v>
      </c>
      <c r="AG1368" t="s">
        <v>43</v>
      </c>
      <c r="AH1368" s="2" t="s">
        <v>43</v>
      </c>
    </row>
    <row r="1369" spans="1:34" ht="45">
      <c r="A1369" s="6" t="s">
        <v>96</v>
      </c>
      <c r="B1369" s="7">
        <v>46028</v>
      </c>
      <c r="C1369" s="9" t="str">
        <f>HYPERLINK("https://eping.wto.org/en/Search?viewData= G/TBT/N/ISR/1309/Add.1"," G/TBT/N/ISR/1309/Add.1")</f>
        <v xml:space="preserve"> G/TBT/N/ISR/1309/Add.1</v>
      </c>
      <c r="D1369" s="8" t="s">
        <v>5315</v>
      </c>
      <c r="E1369" s="8" t="s">
        <v>5316</v>
      </c>
      <c r="F1369" s="8" t="s">
        <v>5317</v>
      </c>
      <c r="G1369" s="8" t="s">
        <v>5318</v>
      </c>
      <c r="H1369" s="8" t="s">
        <v>5319</v>
      </c>
      <c r="I1369" s="8" t="s">
        <v>275</v>
      </c>
      <c r="J1369" s="8" t="s">
        <v>43</v>
      </c>
      <c r="K1369" s="8" t="s">
        <v>43</v>
      </c>
      <c r="L1369" s="6"/>
      <c r="M1369" s="7" t="s">
        <v>43</v>
      </c>
      <c r="N1369" s="7"/>
      <c r="O1369" s="7"/>
      <c r="P1369" s="6" t="s">
        <v>44</v>
      </c>
      <c r="Q1369" s="8" t="s">
        <v>5320</v>
      </c>
      <c r="R1369" t="str">
        <f>HYPERLINK("https://docs.wto.org/imrd/directdoc.asp?DDFDocuments/t/G/TBTN24/ISR1309A1.docx", "https://docs.wto.org/imrd/directdoc.asp?DDFDocuments/t/G/TBTN24/ISR1309A1.docx")</f>
        <v>https://docs.wto.org/imrd/directdoc.asp?DDFDocuments/t/G/TBTN24/ISR1309A1.docx</v>
      </c>
      <c r="S1369" t="str">
        <f>HYPERLINK("https://docs.wto.org/imrd/directdoc.asp?DDFDocuments/u/G/TBTN24/ISR1309A1.docx", "https://docs.wto.org/imrd/directdoc.asp?DDFDocuments/u/G/TBTN24/ISR1309A1.docx")</f>
        <v>https://docs.wto.org/imrd/directdoc.asp?DDFDocuments/u/G/TBTN24/ISR1309A1.docx</v>
      </c>
      <c r="T1369" t="str">
        <f>HYPERLINK("https://docs.wto.org/imrd/directdoc.asp?DDFDocuments/v/G/TBTN24/ISR1309A1.docx", "https://docs.wto.org/imrd/directdoc.asp?DDFDocuments/v/G/TBTN24/ISR1309A1.docx")</f>
        <v>https://docs.wto.org/imrd/directdoc.asp?DDFDocuments/v/G/TBTN24/ISR1309A1.docx</v>
      </c>
      <c r="U1369" t="s">
        <v>64</v>
      </c>
      <c r="V1369" t="s">
        <v>46</v>
      </c>
      <c r="W1369" t="s">
        <v>64</v>
      </c>
      <c r="X1369" t="s">
        <v>46</v>
      </c>
      <c r="Y1369" t="s">
        <v>46</v>
      </c>
      <c r="Z1369" t="s">
        <v>46</v>
      </c>
      <c r="AA1369" t="s">
        <v>46</v>
      </c>
      <c r="AB1369" s="2" t="s">
        <v>43</v>
      </c>
      <c r="AC1369" t="s">
        <v>43</v>
      </c>
      <c r="AD1369" t="s">
        <v>43</v>
      </c>
      <c r="AE1369" t="s">
        <v>43</v>
      </c>
      <c r="AF1369" t="s">
        <v>43</v>
      </c>
      <c r="AG1369" t="s">
        <v>43</v>
      </c>
      <c r="AH1369" s="2" t="s">
        <v>43</v>
      </c>
    </row>
    <row r="1370" spans="1:34" ht="45">
      <c r="A1370" s="6" t="s">
        <v>124</v>
      </c>
      <c r="B1370" s="7">
        <v>46028</v>
      </c>
      <c r="C1370" s="9" t="str">
        <f>HYPERLINK("https://eping.wto.org/en/Search?viewData= G/TBT/N/BDI/698, G/TBT/N/KEN/1960, G/TBT/N/RWA/1328, G/TBT/N/TZA/1478, G/TBT/N/UGA/2296"," G/TBT/N/BDI/698, G/TBT/N/KEN/1960, G/TBT/N/RWA/1328, G/TBT/N/TZA/1478, G/TBT/N/UGA/2296")</f>
        <v xml:space="preserve"> G/TBT/N/BDI/698, G/TBT/N/KEN/1960, G/TBT/N/RWA/1328, G/TBT/N/TZA/1478, G/TBT/N/UGA/2296</v>
      </c>
      <c r="D1370" s="8" t="s">
        <v>5321</v>
      </c>
      <c r="E1370" s="8" t="s">
        <v>5322</v>
      </c>
      <c r="F1370" s="8" t="s">
        <v>4384</v>
      </c>
      <c r="G1370" s="8" t="s">
        <v>43</v>
      </c>
      <c r="H1370" s="8" t="s">
        <v>4385</v>
      </c>
      <c r="I1370" s="8" t="s">
        <v>2058</v>
      </c>
      <c r="J1370" s="8" t="s">
        <v>43</v>
      </c>
      <c r="K1370" s="8" t="s">
        <v>43</v>
      </c>
      <c r="L1370" s="6"/>
      <c r="M1370" s="7">
        <v>46088</v>
      </c>
      <c r="N1370" s="7">
        <v>46112</v>
      </c>
      <c r="O1370" s="7" t="s">
        <v>79</v>
      </c>
      <c r="P1370" s="6" t="s">
        <v>62</v>
      </c>
      <c r="Q1370" s="8" t="s">
        <v>5323</v>
      </c>
      <c r="R1370" t="str">
        <f>HYPERLINK("https://docs.wto.org/imrd/directdoc.asp?DDFDocuments/t/G/TBTN26/BDI698.docx", "https://docs.wto.org/imrd/directdoc.asp?DDFDocuments/t/G/TBTN26/BDI698.docx")</f>
        <v>https://docs.wto.org/imrd/directdoc.asp?DDFDocuments/t/G/TBTN26/BDI698.docx</v>
      </c>
      <c r="S1370" t="str">
        <f>HYPERLINK("https://docs.wto.org/imrd/directdoc.asp?DDFDocuments/u/G/TBTN26/BDI698.docx", "https://docs.wto.org/imrd/directdoc.asp?DDFDocuments/u/G/TBTN26/BDI698.docx")</f>
        <v>https://docs.wto.org/imrd/directdoc.asp?DDFDocuments/u/G/TBTN26/BDI698.docx</v>
      </c>
      <c r="T1370" t="str">
        <f>HYPERLINK("https://docs.wto.org/imrd/directdoc.asp?DDFDocuments/v/G/TBTN26/BDI698.docx", "https://docs.wto.org/imrd/directdoc.asp?DDFDocuments/v/G/TBTN26/BDI698.docx")</f>
        <v>https://docs.wto.org/imrd/directdoc.asp?DDFDocuments/v/G/TBTN26/BDI698.docx</v>
      </c>
      <c r="U1370" t="s">
        <v>64</v>
      </c>
      <c r="V1370" t="s">
        <v>46</v>
      </c>
      <c r="W1370" t="s">
        <v>64</v>
      </c>
      <c r="X1370" t="s">
        <v>46</v>
      </c>
      <c r="Y1370" t="s">
        <v>46</v>
      </c>
      <c r="Z1370" t="s">
        <v>46</v>
      </c>
      <c r="AA1370" t="s">
        <v>46</v>
      </c>
      <c r="AB1370" s="2" t="s">
        <v>145</v>
      </c>
      <c r="AC1370" t="s">
        <v>43</v>
      </c>
      <c r="AD1370" t="s">
        <v>43</v>
      </c>
      <c r="AE1370" t="s">
        <v>43</v>
      </c>
      <c r="AF1370" t="s">
        <v>43</v>
      </c>
      <c r="AG1370" t="s">
        <v>43</v>
      </c>
      <c r="AH1370" s="2" t="s">
        <v>43</v>
      </c>
    </row>
    <row r="1371" spans="1:34" ht="90">
      <c r="A1371" s="6" t="s">
        <v>1917</v>
      </c>
      <c r="B1371" s="7">
        <v>46028</v>
      </c>
      <c r="C1371" s="9" t="str">
        <f>HYPERLINK("https://eping.wto.org/en/Search?viewData= G/TBT/N/EGY/568"," G/TBT/N/EGY/568")</f>
        <v xml:space="preserve"> G/TBT/N/EGY/568</v>
      </c>
      <c r="D1371" s="8" t="s">
        <v>5324</v>
      </c>
      <c r="E1371" s="8" t="s">
        <v>5325</v>
      </c>
      <c r="F1371" s="8" t="s">
        <v>5326</v>
      </c>
      <c r="G1371" s="8" t="s">
        <v>43</v>
      </c>
      <c r="H1371" s="8" t="s">
        <v>5327</v>
      </c>
      <c r="I1371" s="8" t="s">
        <v>129</v>
      </c>
      <c r="J1371" s="8" t="s">
        <v>5289</v>
      </c>
      <c r="K1371" s="8" t="s">
        <v>43</v>
      </c>
      <c r="L1371" s="6"/>
      <c r="M1371" s="7">
        <v>46088</v>
      </c>
      <c r="N1371" s="7" t="s">
        <v>79</v>
      </c>
      <c r="O1371" s="7" t="s">
        <v>79</v>
      </c>
      <c r="P1371" s="6" t="s">
        <v>62</v>
      </c>
      <c r="Q1371" s="6"/>
      <c r="R1371" t="str">
        <f>HYPERLINK("https://docs.wto.org/imrd/directdoc.asp?DDFDocuments/t/G/TBTN26/EGY568.docx", "https://docs.wto.org/imrd/directdoc.asp?DDFDocuments/t/G/TBTN26/EGY568.docx")</f>
        <v>https://docs.wto.org/imrd/directdoc.asp?DDFDocuments/t/G/TBTN26/EGY568.docx</v>
      </c>
      <c r="S1371" t="str">
        <f>HYPERLINK("https://docs.wto.org/imrd/directdoc.asp?DDFDocuments/u/G/TBTN26/EGY568.docx", "https://docs.wto.org/imrd/directdoc.asp?DDFDocuments/u/G/TBTN26/EGY568.docx")</f>
        <v>https://docs.wto.org/imrd/directdoc.asp?DDFDocuments/u/G/TBTN26/EGY568.docx</v>
      </c>
      <c r="T1371" t="str">
        <f>HYPERLINK("https://docs.wto.org/imrd/directdoc.asp?DDFDocuments/v/G/TBTN26/EGY568.docx", "https://docs.wto.org/imrd/directdoc.asp?DDFDocuments/v/G/TBTN26/EGY568.docx")</f>
        <v>https://docs.wto.org/imrd/directdoc.asp?DDFDocuments/v/G/TBTN26/EGY568.docx</v>
      </c>
      <c r="U1371" t="s">
        <v>64</v>
      </c>
      <c r="V1371" t="s">
        <v>46</v>
      </c>
      <c r="W1371" t="s">
        <v>46</v>
      </c>
      <c r="X1371" t="s">
        <v>46</v>
      </c>
      <c r="Y1371" t="s">
        <v>46</v>
      </c>
      <c r="Z1371" t="s">
        <v>46</v>
      </c>
      <c r="AA1371" t="s">
        <v>46</v>
      </c>
      <c r="AB1371" s="2" t="s">
        <v>5328</v>
      </c>
      <c r="AC1371" t="s">
        <v>43</v>
      </c>
      <c r="AD1371" t="s">
        <v>43</v>
      </c>
      <c r="AE1371" t="s">
        <v>43</v>
      </c>
      <c r="AF1371" t="s">
        <v>43</v>
      </c>
      <c r="AG1371" t="s">
        <v>43</v>
      </c>
      <c r="AH1371" s="2" t="s">
        <v>43</v>
      </c>
    </row>
    <row r="1372" spans="1:34" ht="45">
      <c r="A1372" s="6" t="s">
        <v>390</v>
      </c>
      <c r="B1372" s="7">
        <v>46028</v>
      </c>
      <c r="C1372" s="9" t="str">
        <f>HYPERLINK("https://eping.wto.org/en/Search?viewData= G/TBT/N/BDI/698, G/TBT/N/KEN/1960, G/TBT/N/RWA/1328, G/TBT/N/TZA/1478, G/TBT/N/UGA/2296"," G/TBT/N/BDI/698, G/TBT/N/KEN/1960, G/TBT/N/RWA/1328, G/TBT/N/TZA/1478, G/TBT/N/UGA/2296")</f>
        <v xml:space="preserve"> G/TBT/N/BDI/698, G/TBT/N/KEN/1960, G/TBT/N/RWA/1328, G/TBT/N/TZA/1478, G/TBT/N/UGA/2296</v>
      </c>
      <c r="D1372" s="8" t="s">
        <v>5321</v>
      </c>
      <c r="E1372" s="8" t="s">
        <v>5322</v>
      </c>
      <c r="F1372" s="8" t="s">
        <v>4384</v>
      </c>
      <c r="G1372" s="8" t="s">
        <v>43</v>
      </c>
      <c r="H1372" s="8" t="s">
        <v>4385</v>
      </c>
      <c r="I1372" s="8" t="s">
        <v>2058</v>
      </c>
      <c r="J1372" s="8" t="s">
        <v>43</v>
      </c>
      <c r="K1372" s="8" t="s">
        <v>43</v>
      </c>
      <c r="L1372" s="6"/>
      <c r="M1372" s="7">
        <v>46088</v>
      </c>
      <c r="N1372" s="7">
        <v>46112</v>
      </c>
      <c r="O1372" s="7" t="s">
        <v>79</v>
      </c>
      <c r="P1372" s="6" t="s">
        <v>62</v>
      </c>
      <c r="Q1372" s="8" t="s">
        <v>5323</v>
      </c>
      <c r="R1372" t="str">
        <f>HYPERLINK("https://docs.wto.org/imrd/directdoc.asp?DDFDocuments/t/G/TBTN26/BDI698.docx", "https://docs.wto.org/imrd/directdoc.asp?DDFDocuments/t/G/TBTN26/BDI698.docx")</f>
        <v>https://docs.wto.org/imrd/directdoc.asp?DDFDocuments/t/G/TBTN26/BDI698.docx</v>
      </c>
      <c r="S1372" t="str">
        <f>HYPERLINK("https://docs.wto.org/imrd/directdoc.asp?DDFDocuments/u/G/TBTN26/BDI698.docx", "https://docs.wto.org/imrd/directdoc.asp?DDFDocuments/u/G/TBTN26/BDI698.docx")</f>
        <v>https://docs.wto.org/imrd/directdoc.asp?DDFDocuments/u/G/TBTN26/BDI698.docx</v>
      </c>
      <c r="T1372" t="str">
        <f>HYPERLINK("https://docs.wto.org/imrd/directdoc.asp?DDFDocuments/v/G/TBTN26/BDI698.docx", "https://docs.wto.org/imrd/directdoc.asp?DDFDocuments/v/G/TBTN26/BDI698.docx")</f>
        <v>https://docs.wto.org/imrd/directdoc.asp?DDFDocuments/v/G/TBTN26/BDI698.docx</v>
      </c>
      <c r="U1372" t="s">
        <v>64</v>
      </c>
      <c r="V1372" t="s">
        <v>46</v>
      </c>
      <c r="W1372" t="s">
        <v>64</v>
      </c>
      <c r="X1372" t="s">
        <v>46</v>
      </c>
      <c r="Y1372" t="s">
        <v>46</v>
      </c>
      <c r="Z1372" t="s">
        <v>46</v>
      </c>
      <c r="AA1372" t="s">
        <v>46</v>
      </c>
      <c r="AB1372" s="2" t="s">
        <v>145</v>
      </c>
      <c r="AC1372" t="s">
        <v>43</v>
      </c>
      <c r="AD1372" t="s">
        <v>43</v>
      </c>
      <c r="AE1372" t="s">
        <v>43</v>
      </c>
      <c r="AF1372" t="s">
        <v>43</v>
      </c>
      <c r="AG1372" t="s">
        <v>43</v>
      </c>
      <c r="AH1372" s="2" t="s">
        <v>43</v>
      </c>
    </row>
    <row r="1373" spans="1:34" ht="409.5">
      <c r="A1373" s="6" t="s">
        <v>509</v>
      </c>
      <c r="B1373" s="7">
        <v>46028</v>
      </c>
      <c r="C1373" s="9" t="str">
        <f>HYPERLINK("https://eping.wto.org/en/Search?viewData= G/TBT/N/BDI/701, G/TBT/N/KEN/1965, G/TBT/N/RWA/1331, G/TBT/N/TZA/1481, G/TBT/N/UGA/2299"," G/TBT/N/BDI/701, G/TBT/N/KEN/1965, G/TBT/N/RWA/1331, G/TBT/N/TZA/1481, G/TBT/N/UGA/2299")</f>
        <v xml:space="preserve"> G/TBT/N/BDI/701, G/TBT/N/KEN/1965, G/TBT/N/RWA/1331, G/TBT/N/TZA/1481, G/TBT/N/UGA/2299</v>
      </c>
      <c r="D1373" s="8" t="s">
        <v>5295</v>
      </c>
      <c r="E1373" s="8" t="s">
        <v>5296</v>
      </c>
      <c r="F1373" s="8" t="s">
        <v>2819</v>
      </c>
      <c r="G1373" s="8" t="s">
        <v>5297</v>
      </c>
      <c r="H1373" s="8" t="s">
        <v>431</v>
      </c>
      <c r="I1373" s="8" t="s">
        <v>2838</v>
      </c>
      <c r="J1373" s="8" t="s">
        <v>43</v>
      </c>
      <c r="K1373" s="8" t="s">
        <v>240</v>
      </c>
      <c r="L1373" s="6"/>
      <c r="M1373" s="7">
        <v>46088</v>
      </c>
      <c r="N1373" s="7" t="s">
        <v>79</v>
      </c>
      <c r="O1373" s="7" t="s">
        <v>114</v>
      </c>
      <c r="P1373" s="6" t="s">
        <v>62</v>
      </c>
      <c r="Q1373" s="8" t="s">
        <v>5298</v>
      </c>
      <c r="R1373" t="str">
        <f>HYPERLINK("https://docs.wto.org/imrd/directdoc.asp?DDFDocuments/t/G/TBTN26/BDI701.docx", "https://docs.wto.org/imrd/directdoc.asp?DDFDocuments/t/G/TBTN26/BDI701.docx")</f>
        <v>https://docs.wto.org/imrd/directdoc.asp?DDFDocuments/t/G/TBTN26/BDI701.docx</v>
      </c>
      <c r="S1373" t="str">
        <f>HYPERLINK("https://docs.wto.org/imrd/directdoc.asp?DDFDocuments/u/G/TBTN26/BDI701.docx", "https://docs.wto.org/imrd/directdoc.asp?DDFDocuments/u/G/TBTN26/BDI701.docx")</f>
        <v>https://docs.wto.org/imrd/directdoc.asp?DDFDocuments/u/G/TBTN26/BDI701.docx</v>
      </c>
      <c r="T1373" t="str">
        <f>HYPERLINK("https://docs.wto.org/imrd/directdoc.asp?DDFDocuments/v/G/TBTN26/BDI701.docx", "https://docs.wto.org/imrd/directdoc.asp?DDFDocuments/v/G/TBTN26/BDI701.docx")</f>
        <v>https://docs.wto.org/imrd/directdoc.asp?DDFDocuments/v/G/TBTN26/BDI701.docx</v>
      </c>
      <c r="U1373" t="s">
        <v>64</v>
      </c>
      <c r="V1373" t="s">
        <v>46</v>
      </c>
      <c r="W1373" t="s">
        <v>46</v>
      </c>
      <c r="X1373" t="s">
        <v>46</v>
      </c>
      <c r="Y1373" t="s">
        <v>46</v>
      </c>
      <c r="Z1373" t="s">
        <v>46</v>
      </c>
      <c r="AA1373" t="s">
        <v>46</v>
      </c>
      <c r="AB1373" s="2" t="s">
        <v>5299</v>
      </c>
      <c r="AC1373" t="s">
        <v>43</v>
      </c>
      <c r="AD1373" t="s">
        <v>43</v>
      </c>
      <c r="AE1373" t="s">
        <v>43</v>
      </c>
      <c r="AF1373" t="s">
        <v>43</v>
      </c>
      <c r="AG1373" t="s">
        <v>43</v>
      </c>
      <c r="AH1373" s="2" t="s">
        <v>43</v>
      </c>
    </row>
    <row r="1374" spans="1:34" ht="45">
      <c r="A1374" s="6" t="s">
        <v>82</v>
      </c>
      <c r="B1374" s="7">
        <v>46028</v>
      </c>
      <c r="C1374" s="9" t="str">
        <f>HYPERLINK("https://eping.wto.org/en/Search?viewData= G/TBT/N/JPN/893"," G/TBT/N/JPN/893")</f>
        <v xml:space="preserve"> G/TBT/N/JPN/893</v>
      </c>
      <c r="D1374" s="8" t="s">
        <v>5329</v>
      </c>
      <c r="E1374" s="8" t="s">
        <v>5330</v>
      </c>
      <c r="F1374" s="8" t="s">
        <v>5331</v>
      </c>
      <c r="G1374" s="8" t="s">
        <v>43</v>
      </c>
      <c r="H1374" s="8" t="s">
        <v>5332</v>
      </c>
      <c r="I1374" s="8" t="s">
        <v>52</v>
      </c>
      <c r="J1374" s="8" t="s">
        <v>5333</v>
      </c>
      <c r="K1374" s="8" t="s">
        <v>43</v>
      </c>
      <c r="L1374" s="6"/>
      <c r="M1374" s="7">
        <v>46088</v>
      </c>
      <c r="N1374" s="7" t="s">
        <v>5334</v>
      </c>
      <c r="O1374" s="7" t="s">
        <v>5334</v>
      </c>
      <c r="P1374" s="6" t="s">
        <v>62</v>
      </c>
      <c r="Q1374" s="8" t="s">
        <v>5335</v>
      </c>
      <c r="R1374" t="str">
        <f>HYPERLINK("https://docs.wto.org/imrd/directdoc.asp?DDFDocuments/t/G/TBTN26/JPN893.docx", "https://docs.wto.org/imrd/directdoc.asp?DDFDocuments/t/G/TBTN26/JPN893.docx")</f>
        <v>https://docs.wto.org/imrd/directdoc.asp?DDFDocuments/t/G/TBTN26/JPN893.docx</v>
      </c>
      <c r="S1374" t="str">
        <f>HYPERLINK("https://docs.wto.org/imrd/directdoc.asp?DDFDocuments/u/G/TBTN26/JPN893.docx", "https://docs.wto.org/imrd/directdoc.asp?DDFDocuments/u/G/TBTN26/JPN893.docx")</f>
        <v>https://docs.wto.org/imrd/directdoc.asp?DDFDocuments/u/G/TBTN26/JPN893.docx</v>
      </c>
      <c r="T1374" t="str">
        <f>HYPERLINK("https://docs.wto.org/imrd/directdoc.asp?DDFDocuments/v/G/TBTN26/JPN893.docx", "https://docs.wto.org/imrd/directdoc.asp?DDFDocuments/v/G/TBTN26/JPN893.docx")</f>
        <v>https://docs.wto.org/imrd/directdoc.asp?DDFDocuments/v/G/TBTN26/JPN893.docx</v>
      </c>
      <c r="U1374" t="s">
        <v>64</v>
      </c>
      <c r="V1374" t="s">
        <v>46</v>
      </c>
      <c r="W1374" t="s">
        <v>46</v>
      </c>
      <c r="X1374" t="s">
        <v>46</v>
      </c>
      <c r="Y1374" t="s">
        <v>46</v>
      </c>
      <c r="Z1374" t="s">
        <v>46</v>
      </c>
      <c r="AA1374" t="s">
        <v>46</v>
      </c>
      <c r="AB1374" s="2" t="s">
        <v>5336</v>
      </c>
      <c r="AC1374" t="s">
        <v>43</v>
      </c>
      <c r="AD1374" t="s">
        <v>43</v>
      </c>
      <c r="AE1374" t="s">
        <v>43</v>
      </c>
      <c r="AF1374" t="s">
        <v>43</v>
      </c>
      <c r="AG1374" t="s">
        <v>43</v>
      </c>
      <c r="AH1374" s="2" t="s">
        <v>43</v>
      </c>
    </row>
    <row r="1375" spans="1:34" ht="135">
      <c r="A1375" s="6" t="s">
        <v>390</v>
      </c>
      <c r="B1375" s="7">
        <v>46028</v>
      </c>
      <c r="C1375" s="9" t="str">
        <f>HYPERLINK("https://eping.wto.org/en/Search?viewData= G/TBT/N/TZA/1476"," G/TBT/N/TZA/1476")</f>
        <v xml:space="preserve"> G/TBT/N/TZA/1476</v>
      </c>
      <c r="D1375" s="8" t="s">
        <v>5337</v>
      </c>
      <c r="E1375" s="8" t="s">
        <v>5338</v>
      </c>
      <c r="F1375" s="8" t="s">
        <v>694</v>
      </c>
      <c r="G1375" s="8" t="s">
        <v>430</v>
      </c>
      <c r="H1375" s="8" t="s">
        <v>431</v>
      </c>
      <c r="I1375" s="8" t="s">
        <v>684</v>
      </c>
      <c r="J1375" s="8" t="s">
        <v>43</v>
      </c>
      <c r="K1375" s="8" t="s">
        <v>240</v>
      </c>
      <c r="L1375" s="6"/>
      <c r="M1375" s="7">
        <v>46088</v>
      </c>
      <c r="N1375" s="7" t="s">
        <v>79</v>
      </c>
      <c r="O1375" s="7" t="s">
        <v>79</v>
      </c>
      <c r="P1375" s="6" t="s">
        <v>62</v>
      </c>
      <c r="Q1375" s="8" t="s">
        <v>5339</v>
      </c>
      <c r="R1375" t="str">
        <f>HYPERLINK("https://docs.wto.org/imrd/directdoc.asp?DDFDocuments/t/G/TBTN26/TZA1476.docx", "https://docs.wto.org/imrd/directdoc.asp?DDFDocuments/t/G/TBTN26/TZA1476.docx")</f>
        <v>https://docs.wto.org/imrd/directdoc.asp?DDFDocuments/t/G/TBTN26/TZA1476.docx</v>
      </c>
      <c r="S1375" t="str">
        <f>HYPERLINK("https://docs.wto.org/imrd/directdoc.asp?DDFDocuments/u/G/TBTN26/TZA1476.docx", "https://docs.wto.org/imrd/directdoc.asp?DDFDocuments/u/G/TBTN26/TZA1476.docx")</f>
        <v>https://docs.wto.org/imrd/directdoc.asp?DDFDocuments/u/G/TBTN26/TZA1476.docx</v>
      </c>
      <c r="T1375" t="str">
        <f>HYPERLINK("https://docs.wto.org/imrd/directdoc.asp?DDFDocuments/v/G/TBTN26/TZA1476.docx", "https://docs.wto.org/imrd/directdoc.asp?DDFDocuments/v/G/TBTN26/TZA1476.docx")</f>
        <v>https://docs.wto.org/imrd/directdoc.asp?DDFDocuments/v/G/TBTN26/TZA1476.docx</v>
      </c>
      <c r="U1375" t="s">
        <v>64</v>
      </c>
      <c r="V1375" t="s">
        <v>46</v>
      </c>
      <c r="W1375" t="s">
        <v>46</v>
      </c>
      <c r="X1375" t="s">
        <v>46</v>
      </c>
      <c r="Y1375" t="s">
        <v>46</v>
      </c>
      <c r="Z1375" t="s">
        <v>46</v>
      </c>
      <c r="AA1375" t="s">
        <v>46</v>
      </c>
      <c r="AB1375" s="2" t="s">
        <v>5340</v>
      </c>
      <c r="AC1375" t="s">
        <v>43</v>
      </c>
      <c r="AD1375" t="s">
        <v>43</v>
      </c>
      <c r="AE1375" t="s">
        <v>43</v>
      </c>
      <c r="AF1375" t="s">
        <v>43</v>
      </c>
      <c r="AG1375" t="s">
        <v>43</v>
      </c>
      <c r="AH1375" s="2" t="s">
        <v>43</v>
      </c>
    </row>
    <row r="1376" spans="1:34" ht="45">
      <c r="A1376" s="6" t="s">
        <v>390</v>
      </c>
      <c r="B1376" s="7">
        <v>46028</v>
      </c>
      <c r="C1376" s="9" t="str">
        <f>HYPERLINK("https://eping.wto.org/en/Search?viewData= G/SPS/N/TZA/490"," G/SPS/N/TZA/490")</f>
        <v xml:space="preserve"> G/SPS/N/TZA/490</v>
      </c>
      <c r="D1376" s="8" t="s">
        <v>5341</v>
      </c>
      <c r="E1376" s="8" t="s">
        <v>5342</v>
      </c>
      <c r="F1376" s="8" t="s">
        <v>429</v>
      </c>
      <c r="G1376" s="8" t="s">
        <v>430</v>
      </c>
      <c r="H1376" s="8" t="s">
        <v>431</v>
      </c>
      <c r="I1376" s="8" t="s">
        <v>58</v>
      </c>
      <c r="J1376" s="8" t="s">
        <v>43</v>
      </c>
      <c r="K1376" s="8" t="s">
        <v>310</v>
      </c>
      <c r="L1376" s="6" t="s">
        <v>43</v>
      </c>
      <c r="M1376" s="7">
        <v>46088</v>
      </c>
      <c r="N1376" s="7" t="s">
        <v>396</v>
      </c>
      <c r="O1376" s="7" t="s">
        <v>304</v>
      </c>
      <c r="P1376" s="6" t="s">
        <v>62</v>
      </c>
      <c r="Q1376" s="8" t="s">
        <v>5343</v>
      </c>
      <c r="R1376" t="str">
        <f>HYPERLINK("https://docs.wto.org/imrd/directdoc.asp?DDFDocuments/t/G/SPS/NTZA490.docx", "https://docs.wto.org/imrd/directdoc.asp?DDFDocuments/t/G/SPS/NTZA490.docx")</f>
        <v>https://docs.wto.org/imrd/directdoc.asp?DDFDocuments/t/G/SPS/NTZA490.docx</v>
      </c>
      <c r="S1376" t="str">
        <f>HYPERLINK("https://docs.wto.org/imrd/directdoc.asp?DDFDocuments/u/G/SPS/NTZA490.docx", "https://docs.wto.org/imrd/directdoc.asp?DDFDocuments/u/G/SPS/NTZA490.docx")</f>
        <v>https://docs.wto.org/imrd/directdoc.asp?DDFDocuments/u/G/SPS/NTZA490.docx</v>
      </c>
      <c r="T1376" t="str">
        <f>HYPERLINK("https://docs.wto.org/imrd/directdoc.asp?DDFDocuments/v/G/SPS/NTZA490.docx", "https://docs.wto.org/imrd/directdoc.asp?DDFDocuments/v/G/SPS/NTZA490.docx")</f>
        <v>https://docs.wto.org/imrd/directdoc.asp?DDFDocuments/v/G/SPS/NTZA490.docx</v>
      </c>
      <c r="U1376" t="s">
        <v>43</v>
      </c>
      <c r="V1376" t="s">
        <v>43</v>
      </c>
      <c r="W1376" t="s">
        <v>43</v>
      </c>
      <c r="X1376" t="s">
        <v>43</v>
      </c>
      <c r="Y1376" t="s">
        <v>43</v>
      </c>
      <c r="Z1376" t="s">
        <v>43</v>
      </c>
      <c r="AA1376" t="s">
        <v>43</v>
      </c>
      <c r="AB1376" s="2" t="s">
        <v>43</v>
      </c>
      <c r="AC1376" t="s">
        <v>46</v>
      </c>
      <c r="AD1376" t="s">
        <v>46</v>
      </c>
      <c r="AE1376" t="s">
        <v>46</v>
      </c>
      <c r="AF1376" t="s">
        <v>64</v>
      </c>
      <c r="AG1376" t="s">
        <v>99</v>
      </c>
      <c r="AH1376" s="2" t="s">
        <v>43</v>
      </c>
    </row>
    <row r="1377" spans="1:34" ht="30">
      <c r="A1377" s="6" t="s">
        <v>289</v>
      </c>
      <c r="B1377" s="7">
        <v>46028</v>
      </c>
      <c r="C1377" s="9" t="str">
        <f>HYPERLINK("https://eping.wto.org/en/Search?viewData= G/SPS/N/BRA/2453"," G/SPS/N/BRA/2453")</f>
        <v xml:space="preserve"> G/SPS/N/BRA/2453</v>
      </c>
      <c r="D1377" s="8" t="s">
        <v>5344</v>
      </c>
      <c r="E1377" s="8" t="s">
        <v>5345</v>
      </c>
      <c r="F1377" s="8" t="s">
        <v>5346</v>
      </c>
      <c r="G1377" s="8" t="s">
        <v>5347</v>
      </c>
      <c r="H1377" s="8" t="s">
        <v>43</v>
      </c>
      <c r="I1377" s="8" t="s">
        <v>94</v>
      </c>
      <c r="J1377" s="8" t="s">
        <v>43</v>
      </c>
      <c r="K1377" s="8" t="s">
        <v>5348</v>
      </c>
      <c r="L1377" s="6" t="s">
        <v>756</v>
      </c>
      <c r="M1377" s="7">
        <v>46088</v>
      </c>
      <c r="N1377" s="7" t="s">
        <v>304</v>
      </c>
      <c r="O1377" s="7" t="s">
        <v>304</v>
      </c>
      <c r="P1377" s="6" t="s">
        <v>62</v>
      </c>
      <c r="Q1377" s="8" t="s">
        <v>5349</v>
      </c>
      <c r="R1377" t="str">
        <f>HYPERLINK("https://docs.wto.org/imrd/directdoc.asp?DDFDocuments/t/G/SPS/NBRA2453.docx", "https://docs.wto.org/imrd/directdoc.asp?DDFDocuments/t/G/SPS/NBRA2453.docx")</f>
        <v>https://docs.wto.org/imrd/directdoc.asp?DDFDocuments/t/G/SPS/NBRA2453.docx</v>
      </c>
      <c r="S1377" t="str">
        <f>HYPERLINK("https://docs.wto.org/imrd/directdoc.asp?DDFDocuments/u/G/SPS/NBRA2453.docx", "https://docs.wto.org/imrd/directdoc.asp?DDFDocuments/u/G/SPS/NBRA2453.docx")</f>
        <v>https://docs.wto.org/imrd/directdoc.asp?DDFDocuments/u/G/SPS/NBRA2453.docx</v>
      </c>
      <c r="T1377" t="str">
        <f>HYPERLINK("https://docs.wto.org/imrd/directdoc.asp?DDFDocuments/v/G/SPS/NBRA2453.docx", "https://docs.wto.org/imrd/directdoc.asp?DDFDocuments/v/G/SPS/NBRA2453.docx")</f>
        <v>https://docs.wto.org/imrd/directdoc.asp?DDFDocuments/v/G/SPS/NBRA2453.docx</v>
      </c>
      <c r="U1377" t="s">
        <v>43</v>
      </c>
      <c r="V1377" t="s">
        <v>43</v>
      </c>
      <c r="W1377" t="s">
        <v>43</v>
      </c>
      <c r="X1377" t="s">
        <v>43</v>
      </c>
      <c r="Y1377" t="s">
        <v>43</v>
      </c>
      <c r="Z1377" t="s">
        <v>43</v>
      </c>
      <c r="AA1377" t="s">
        <v>43</v>
      </c>
      <c r="AB1377" s="2" t="s">
        <v>43</v>
      </c>
      <c r="AC1377" t="s">
        <v>46</v>
      </c>
      <c r="AD1377" t="s">
        <v>46</v>
      </c>
      <c r="AE1377" t="s">
        <v>64</v>
      </c>
      <c r="AF1377" t="s">
        <v>46</v>
      </c>
      <c r="AG1377" t="s">
        <v>64</v>
      </c>
      <c r="AH1377" s="2" t="s">
        <v>43</v>
      </c>
    </row>
    <row r="1378" spans="1:34" ht="90">
      <c r="A1378" s="6" t="s">
        <v>1917</v>
      </c>
      <c r="B1378" s="7">
        <v>46028</v>
      </c>
      <c r="C1378" s="9" t="str">
        <f>HYPERLINK("https://eping.wto.org/en/Search?viewData= G/TBT/N/EGY/567"," G/TBT/N/EGY/567")</f>
        <v xml:space="preserve"> G/TBT/N/EGY/567</v>
      </c>
      <c r="D1378" s="8" t="s">
        <v>5350</v>
      </c>
      <c r="E1378" s="8" t="s">
        <v>5351</v>
      </c>
      <c r="F1378" s="8" t="s">
        <v>5352</v>
      </c>
      <c r="G1378" s="8" t="s">
        <v>43</v>
      </c>
      <c r="H1378" s="8" t="s">
        <v>5353</v>
      </c>
      <c r="I1378" s="8" t="s">
        <v>129</v>
      </c>
      <c r="J1378" s="8" t="s">
        <v>5289</v>
      </c>
      <c r="K1378" s="8" t="s">
        <v>43</v>
      </c>
      <c r="L1378" s="6"/>
      <c r="M1378" s="7">
        <v>46088</v>
      </c>
      <c r="N1378" s="7" t="s">
        <v>79</v>
      </c>
      <c r="O1378" s="7" t="s">
        <v>79</v>
      </c>
      <c r="P1378" s="6" t="s">
        <v>62</v>
      </c>
      <c r="Q1378" s="6"/>
      <c r="R1378" t="str">
        <f>HYPERLINK("https://docs.wto.org/imrd/directdoc.asp?DDFDocuments/t/G/TBTN26/EGY567.docx", "https://docs.wto.org/imrd/directdoc.asp?DDFDocuments/t/G/TBTN26/EGY567.docx")</f>
        <v>https://docs.wto.org/imrd/directdoc.asp?DDFDocuments/t/G/TBTN26/EGY567.docx</v>
      </c>
      <c r="S1378" t="str">
        <f>HYPERLINK("https://docs.wto.org/imrd/directdoc.asp?DDFDocuments/u/G/TBTN26/EGY567.docx", "https://docs.wto.org/imrd/directdoc.asp?DDFDocuments/u/G/TBTN26/EGY567.docx")</f>
        <v>https://docs.wto.org/imrd/directdoc.asp?DDFDocuments/u/G/TBTN26/EGY567.docx</v>
      </c>
      <c r="T1378" t="str">
        <f>HYPERLINK("https://docs.wto.org/imrd/directdoc.asp?DDFDocuments/v/G/TBTN26/EGY567.docx", "https://docs.wto.org/imrd/directdoc.asp?DDFDocuments/v/G/TBTN26/EGY567.docx")</f>
        <v>https://docs.wto.org/imrd/directdoc.asp?DDFDocuments/v/G/TBTN26/EGY567.docx</v>
      </c>
      <c r="U1378" t="s">
        <v>64</v>
      </c>
      <c r="V1378" t="s">
        <v>46</v>
      </c>
      <c r="W1378" t="s">
        <v>46</v>
      </c>
      <c r="X1378" t="s">
        <v>46</v>
      </c>
      <c r="Y1378" t="s">
        <v>46</v>
      </c>
      <c r="Z1378" t="s">
        <v>46</v>
      </c>
      <c r="AA1378" t="s">
        <v>46</v>
      </c>
      <c r="AB1378" s="2" t="s">
        <v>5354</v>
      </c>
      <c r="AC1378" t="s">
        <v>43</v>
      </c>
      <c r="AD1378" t="s">
        <v>43</v>
      </c>
      <c r="AE1378" t="s">
        <v>43</v>
      </c>
      <c r="AF1378" t="s">
        <v>43</v>
      </c>
      <c r="AG1378" t="s">
        <v>43</v>
      </c>
      <c r="AH1378" s="2" t="s">
        <v>43</v>
      </c>
    </row>
    <row r="1379" spans="1:34" ht="105">
      <c r="A1379" s="6" t="s">
        <v>249</v>
      </c>
      <c r="B1379" s="7">
        <v>46028</v>
      </c>
      <c r="C1379" s="9" t="str">
        <f>HYPERLINK("https://eping.wto.org/en/Search?viewData= G/SPS/N/COL/410"," G/SPS/N/COL/410")</f>
        <v xml:space="preserve"> G/SPS/N/COL/410</v>
      </c>
      <c r="D1379" s="8" t="s">
        <v>5355</v>
      </c>
      <c r="E1379" s="8" t="s">
        <v>5356</v>
      </c>
      <c r="F1379" s="8" t="s">
        <v>5357</v>
      </c>
      <c r="G1379" s="8" t="s">
        <v>5358</v>
      </c>
      <c r="H1379" s="8" t="s">
        <v>43</v>
      </c>
      <c r="I1379" s="8" t="s">
        <v>104</v>
      </c>
      <c r="J1379" s="8" t="s">
        <v>43</v>
      </c>
      <c r="K1379" s="8" t="s">
        <v>5359</v>
      </c>
      <c r="L1379" s="6" t="s">
        <v>597</v>
      </c>
      <c r="M1379" s="7" t="s">
        <v>43</v>
      </c>
      <c r="N1379" s="7"/>
      <c r="O1379" s="7">
        <v>46021</v>
      </c>
      <c r="P1379" s="6" t="s">
        <v>107</v>
      </c>
      <c r="Q1379" s="8" t="s">
        <v>5360</v>
      </c>
      <c r="R1379" t="str">
        <f>HYPERLINK("https://docs.wto.org/imrd/directdoc.asp?DDFDocuments/t/G/SPS/NCOL410.docx", "https://docs.wto.org/imrd/directdoc.asp?DDFDocuments/t/G/SPS/NCOL410.docx")</f>
        <v>https://docs.wto.org/imrd/directdoc.asp?DDFDocuments/t/G/SPS/NCOL410.docx</v>
      </c>
      <c r="S1379" t="str">
        <f>HYPERLINK("https://docs.wto.org/imrd/directdoc.asp?DDFDocuments/u/G/SPS/NCOL410.docx", "https://docs.wto.org/imrd/directdoc.asp?DDFDocuments/u/G/SPS/NCOL410.docx")</f>
        <v>https://docs.wto.org/imrd/directdoc.asp?DDFDocuments/u/G/SPS/NCOL410.docx</v>
      </c>
      <c r="T1379" t="str">
        <f>HYPERLINK("https://docs.wto.org/imrd/directdoc.asp?DDFDocuments/v/G/SPS/NCOL410.docx", "https://docs.wto.org/imrd/directdoc.asp?DDFDocuments/v/G/SPS/NCOL410.docx")</f>
        <v>https://docs.wto.org/imrd/directdoc.asp?DDFDocuments/v/G/SPS/NCOL410.docx</v>
      </c>
      <c r="U1379" t="s">
        <v>43</v>
      </c>
      <c r="V1379" t="s">
        <v>43</v>
      </c>
      <c r="W1379" t="s">
        <v>43</v>
      </c>
      <c r="X1379" t="s">
        <v>43</v>
      </c>
      <c r="Y1379" t="s">
        <v>43</v>
      </c>
      <c r="Z1379" t="s">
        <v>43</v>
      </c>
      <c r="AA1379" t="s">
        <v>43</v>
      </c>
      <c r="AB1379" s="2" t="s">
        <v>43</v>
      </c>
      <c r="AC1379" t="s">
        <v>46</v>
      </c>
      <c r="AD1379" t="s">
        <v>46</v>
      </c>
      <c r="AE1379" t="s">
        <v>46</v>
      </c>
      <c r="AF1379" t="s">
        <v>64</v>
      </c>
      <c r="AG1379" t="s">
        <v>99</v>
      </c>
      <c r="AH1379" s="2" t="s">
        <v>43</v>
      </c>
    </row>
    <row r="1380" spans="1:34" ht="30">
      <c r="A1380" s="6" t="s">
        <v>124</v>
      </c>
      <c r="B1380" s="7">
        <v>46028</v>
      </c>
      <c r="C1380" s="9" t="str">
        <f>HYPERLINK("https://eping.wto.org/en/Search?viewData= G/TBT/N/BDI/700, G/TBT/N/KEN/1962, G/TBT/N/RWA/1330, G/TBT/N/TZA/1480, G/TBT/N/UGA/2298"," G/TBT/N/BDI/700, G/TBT/N/KEN/1962, G/TBT/N/RWA/1330, G/TBT/N/TZA/1480, G/TBT/N/UGA/2298")</f>
        <v xml:space="preserve"> G/TBT/N/BDI/700, G/TBT/N/KEN/1962, G/TBT/N/RWA/1330, G/TBT/N/TZA/1480, G/TBT/N/UGA/2298</v>
      </c>
      <c r="D1380" s="8" t="s">
        <v>5361</v>
      </c>
      <c r="E1380" s="8" t="s">
        <v>4418</v>
      </c>
      <c r="F1380" s="8" t="s">
        <v>4419</v>
      </c>
      <c r="G1380" s="8" t="s">
        <v>43</v>
      </c>
      <c r="H1380" s="8" t="s">
        <v>4420</v>
      </c>
      <c r="I1380" s="8" t="s">
        <v>2058</v>
      </c>
      <c r="J1380" s="8" t="s">
        <v>43</v>
      </c>
      <c r="K1380" s="8" t="s">
        <v>43</v>
      </c>
      <c r="L1380" s="6"/>
      <c r="M1380" s="7">
        <v>46088</v>
      </c>
      <c r="N1380" s="7">
        <v>46112</v>
      </c>
      <c r="O1380" s="7" t="s">
        <v>79</v>
      </c>
      <c r="P1380" s="6" t="s">
        <v>62</v>
      </c>
      <c r="Q1380" s="8" t="s">
        <v>5362</v>
      </c>
      <c r="R1380" t="str">
        <f>HYPERLINK("https://docs.wto.org/imrd/directdoc.asp?DDFDocuments/t/G/TBTN26/BDI700.docx", "https://docs.wto.org/imrd/directdoc.asp?DDFDocuments/t/G/TBTN26/BDI700.docx")</f>
        <v>https://docs.wto.org/imrd/directdoc.asp?DDFDocuments/t/G/TBTN26/BDI700.docx</v>
      </c>
      <c r="S1380" t="str">
        <f>HYPERLINK("https://docs.wto.org/imrd/directdoc.asp?DDFDocuments/u/G/TBTN26/BDI700.docx", "https://docs.wto.org/imrd/directdoc.asp?DDFDocuments/u/G/TBTN26/BDI700.docx")</f>
        <v>https://docs.wto.org/imrd/directdoc.asp?DDFDocuments/u/G/TBTN26/BDI700.docx</v>
      </c>
      <c r="T1380" t="str">
        <f>HYPERLINK("https://docs.wto.org/imrd/directdoc.asp?DDFDocuments/v/G/TBTN26/BDI700.docx", "https://docs.wto.org/imrd/directdoc.asp?DDFDocuments/v/G/TBTN26/BDI700.docx")</f>
        <v>https://docs.wto.org/imrd/directdoc.asp?DDFDocuments/v/G/TBTN26/BDI700.docx</v>
      </c>
      <c r="U1380" t="s">
        <v>64</v>
      </c>
      <c r="V1380" t="s">
        <v>46</v>
      </c>
      <c r="W1380" t="s">
        <v>46</v>
      </c>
      <c r="X1380" t="s">
        <v>46</v>
      </c>
      <c r="Y1380" t="s">
        <v>46</v>
      </c>
      <c r="Z1380" t="s">
        <v>46</v>
      </c>
      <c r="AA1380" t="s">
        <v>46</v>
      </c>
      <c r="AB1380" s="2" t="s">
        <v>4422</v>
      </c>
      <c r="AC1380" t="s">
        <v>43</v>
      </c>
      <c r="AD1380" t="s">
        <v>43</v>
      </c>
      <c r="AE1380" t="s">
        <v>43</v>
      </c>
      <c r="AF1380" t="s">
        <v>43</v>
      </c>
      <c r="AG1380" t="s">
        <v>43</v>
      </c>
      <c r="AH1380" s="2" t="s">
        <v>43</v>
      </c>
    </row>
    <row r="1381" spans="1:34" ht="60">
      <c r="A1381" s="6" t="s">
        <v>325</v>
      </c>
      <c r="B1381" s="7">
        <v>46028</v>
      </c>
      <c r="C1381" s="9" t="str">
        <f>HYPERLINK("https://eping.wto.org/en/Search?viewData= G/TBT/N/TPKM/564/Add.1"," G/TBT/N/TPKM/564/Add.1")</f>
        <v xml:space="preserve"> G/TBT/N/TPKM/564/Add.1</v>
      </c>
      <c r="D1381" s="8" t="s">
        <v>5363</v>
      </c>
      <c r="E1381" s="8" t="s">
        <v>5364</v>
      </c>
      <c r="F1381" s="8" t="s">
        <v>5365</v>
      </c>
      <c r="G1381" s="8" t="s">
        <v>5366</v>
      </c>
      <c r="H1381" s="8" t="s">
        <v>5367</v>
      </c>
      <c r="I1381" s="8" t="s">
        <v>137</v>
      </c>
      <c r="J1381" s="8" t="s">
        <v>43</v>
      </c>
      <c r="K1381" s="8" t="s">
        <v>43</v>
      </c>
      <c r="L1381" s="6"/>
      <c r="M1381" s="7" t="s">
        <v>43</v>
      </c>
      <c r="N1381" s="7"/>
      <c r="O1381" s="7"/>
      <c r="P1381" s="6" t="s">
        <v>44</v>
      </c>
      <c r="Q1381" s="8" t="s">
        <v>5368</v>
      </c>
      <c r="R1381" t="str">
        <f>HYPERLINK("https://docs.wto.org/imrd/directdoc.asp?DDFDocuments/t/G/TBTN25/TPKM564A1.docx", "https://docs.wto.org/imrd/directdoc.asp?DDFDocuments/t/G/TBTN25/TPKM564A1.docx")</f>
        <v>https://docs.wto.org/imrd/directdoc.asp?DDFDocuments/t/G/TBTN25/TPKM564A1.docx</v>
      </c>
      <c r="S1381" t="str">
        <f>HYPERLINK("https://docs.wto.org/imrd/directdoc.asp?DDFDocuments/u/G/TBTN25/TPKM564A1.docx", "https://docs.wto.org/imrd/directdoc.asp?DDFDocuments/u/G/TBTN25/TPKM564A1.docx")</f>
        <v>https://docs.wto.org/imrd/directdoc.asp?DDFDocuments/u/G/TBTN25/TPKM564A1.docx</v>
      </c>
      <c r="T1381" t="str">
        <f>HYPERLINK("https://docs.wto.org/imrd/directdoc.asp?DDFDocuments/v/G/TBTN25/TPKM564A1.docx", "https://docs.wto.org/imrd/directdoc.asp?DDFDocuments/v/G/TBTN25/TPKM564A1.docx")</f>
        <v>https://docs.wto.org/imrd/directdoc.asp?DDFDocuments/v/G/TBTN25/TPKM564A1.docx</v>
      </c>
      <c r="U1381" t="s">
        <v>46</v>
      </c>
      <c r="V1381" t="s">
        <v>46</v>
      </c>
      <c r="W1381" t="s">
        <v>46</v>
      </c>
      <c r="X1381" t="s">
        <v>46</v>
      </c>
      <c r="Y1381" t="s">
        <v>46</v>
      </c>
      <c r="Z1381" t="s">
        <v>46</v>
      </c>
      <c r="AA1381" t="s">
        <v>46</v>
      </c>
      <c r="AB1381" s="2" t="s">
        <v>43</v>
      </c>
      <c r="AC1381" t="s">
        <v>43</v>
      </c>
      <c r="AD1381" t="s">
        <v>43</v>
      </c>
      <c r="AE1381" t="s">
        <v>43</v>
      </c>
      <c r="AF1381" t="s">
        <v>43</v>
      </c>
      <c r="AG1381" t="s">
        <v>43</v>
      </c>
      <c r="AH1381" s="2" t="s">
        <v>43</v>
      </c>
    </row>
    <row r="1382" spans="1:34" ht="165">
      <c r="A1382" s="6" t="s">
        <v>215</v>
      </c>
      <c r="B1382" s="7">
        <v>46028</v>
      </c>
      <c r="C1382" s="9" t="str">
        <f>HYPERLINK("https://eping.wto.org/en/Search?viewData= G/TBT/N/MYS/132"," G/TBT/N/MYS/132")</f>
        <v xml:space="preserve"> G/TBT/N/MYS/132</v>
      </c>
      <c r="D1382" s="8" t="s">
        <v>5369</v>
      </c>
      <c r="E1382" s="8" t="s">
        <v>5370</v>
      </c>
      <c r="F1382" s="8" t="s">
        <v>5371</v>
      </c>
      <c r="G1382" s="8" t="s">
        <v>5372</v>
      </c>
      <c r="H1382" s="8" t="s">
        <v>896</v>
      </c>
      <c r="I1382" s="8" t="s">
        <v>1124</v>
      </c>
      <c r="J1382" s="8" t="s">
        <v>43</v>
      </c>
      <c r="K1382" s="8" t="s">
        <v>240</v>
      </c>
      <c r="L1382" s="6"/>
      <c r="M1382" s="7">
        <v>46088</v>
      </c>
      <c r="N1382" s="7" t="s">
        <v>79</v>
      </c>
      <c r="O1382" s="7" t="s">
        <v>2258</v>
      </c>
      <c r="P1382" s="6" t="s">
        <v>62</v>
      </c>
      <c r="Q1382" s="6"/>
      <c r="R1382" t="str">
        <f>HYPERLINK("https://docs.wto.org/imrd/directdoc.asp?DDFDocuments/t/G/TBTN26/MYS132.docx", "https://docs.wto.org/imrd/directdoc.asp?DDFDocuments/t/G/TBTN26/MYS132.docx")</f>
        <v>https://docs.wto.org/imrd/directdoc.asp?DDFDocuments/t/G/TBTN26/MYS132.docx</v>
      </c>
      <c r="S1382" t="str">
        <f>HYPERLINK("https://docs.wto.org/imrd/directdoc.asp?DDFDocuments/u/G/TBTN26/MYS132.docx", "https://docs.wto.org/imrd/directdoc.asp?DDFDocuments/u/G/TBTN26/MYS132.docx")</f>
        <v>https://docs.wto.org/imrd/directdoc.asp?DDFDocuments/u/G/TBTN26/MYS132.docx</v>
      </c>
      <c r="T1382" t="str">
        <f>HYPERLINK("https://docs.wto.org/imrd/directdoc.asp?DDFDocuments/v/G/TBTN26/MYS132.docx", "https://docs.wto.org/imrd/directdoc.asp?DDFDocuments/v/G/TBTN26/MYS132.docx")</f>
        <v>https://docs.wto.org/imrd/directdoc.asp?DDFDocuments/v/G/TBTN26/MYS132.docx</v>
      </c>
      <c r="U1382" t="s">
        <v>64</v>
      </c>
      <c r="V1382" t="s">
        <v>46</v>
      </c>
      <c r="W1382" t="s">
        <v>46</v>
      </c>
      <c r="X1382" t="s">
        <v>46</v>
      </c>
      <c r="Y1382" t="s">
        <v>46</v>
      </c>
      <c r="Z1382" t="s">
        <v>46</v>
      </c>
      <c r="AA1382" t="s">
        <v>46</v>
      </c>
      <c r="AB1382" s="2" t="s">
        <v>2259</v>
      </c>
      <c r="AC1382" t="s">
        <v>43</v>
      </c>
      <c r="AD1382" t="s">
        <v>43</v>
      </c>
      <c r="AE1382" t="s">
        <v>43</v>
      </c>
      <c r="AF1382" t="s">
        <v>43</v>
      </c>
      <c r="AG1382" t="s">
        <v>43</v>
      </c>
      <c r="AH1382" s="2" t="s">
        <v>43</v>
      </c>
    </row>
    <row r="1383" spans="1:34" ht="60">
      <c r="A1383" s="6" t="s">
        <v>577</v>
      </c>
      <c r="B1383" s="7">
        <v>46028</v>
      </c>
      <c r="C1383" s="9" t="str">
        <f>HYPERLINK("https://eping.wto.org/en/Search?viewData= G/TBT/N/BDI/697, G/TBT/N/KEN/1959, G/TBT/N/RWA/1327, G/TBT/N/TZA/1477, G/TBT/N/UGA/2295"," G/TBT/N/BDI/697, G/TBT/N/KEN/1959, G/TBT/N/RWA/1327, G/TBT/N/TZA/1477, G/TBT/N/UGA/2295")</f>
        <v xml:space="preserve"> G/TBT/N/BDI/697, G/TBT/N/KEN/1959, G/TBT/N/RWA/1327, G/TBT/N/TZA/1477, G/TBT/N/UGA/2295</v>
      </c>
      <c r="D1383" s="8" t="s">
        <v>5309</v>
      </c>
      <c r="E1383" s="8" t="s">
        <v>5310</v>
      </c>
      <c r="F1383" s="8" t="s">
        <v>4384</v>
      </c>
      <c r="G1383" s="8" t="s">
        <v>43</v>
      </c>
      <c r="H1383" s="8" t="s">
        <v>4385</v>
      </c>
      <c r="I1383" s="8" t="s">
        <v>2058</v>
      </c>
      <c r="J1383" s="8" t="s">
        <v>43</v>
      </c>
      <c r="K1383" s="8" t="s">
        <v>43</v>
      </c>
      <c r="L1383" s="6"/>
      <c r="M1383" s="7">
        <v>46088</v>
      </c>
      <c r="N1383" s="7">
        <v>46112</v>
      </c>
      <c r="O1383" s="7" t="s">
        <v>79</v>
      </c>
      <c r="P1383" s="6" t="s">
        <v>62</v>
      </c>
      <c r="Q1383" s="8" t="s">
        <v>5311</v>
      </c>
      <c r="R1383" t="str">
        <f>HYPERLINK("https://docs.wto.org/imrd/directdoc.asp?DDFDocuments/t/G/TBTN26/BDI697.docx", "https://docs.wto.org/imrd/directdoc.asp?DDFDocuments/t/G/TBTN26/BDI697.docx")</f>
        <v>https://docs.wto.org/imrd/directdoc.asp?DDFDocuments/t/G/TBTN26/BDI697.docx</v>
      </c>
      <c r="S1383" t="str">
        <f>HYPERLINK("https://docs.wto.org/imrd/directdoc.asp?DDFDocuments/u/G/TBTN26/BDI697.docx", "https://docs.wto.org/imrd/directdoc.asp?DDFDocuments/u/G/TBTN26/BDI697.docx")</f>
        <v>https://docs.wto.org/imrd/directdoc.asp?DDFDocuments/u/G/TBTN26/BDI697.docx</v>
      </c>
      <c r="T1383" t="str">
        <f>HYPERLINK("https://docs.wto.org/imrd/directdoc.asp?DDFDocuments/v/G/TBTN26/BDI697.docx", "https://docs.wto.org/imrd/directdoc.asp?DDFDocuments/v/G/TBTN26/BDI697.docx")</f>
        <v>https://docs.wto.org/imrd/directdoc.asp?DDFDocuments/v/G/TBTN26/BDI697.docx</v>
      </c>
      <c r="U1383" t="s">
        <v>64</v>
      </c>
      <c r="V1383" t="s">
        <v>46</v>
      </c>
      <c r="W1383" t="s">
        <v>64</v>
      </c>
      <c r="X1383" t="s">
        <v>46</v>
      </c>
      <c r="Y1383" t="s">
        <v>46</v>
      </c>
      <c r="Z1383" t="s">
        <v>46</v>
      </c>
      <c r="AA1383" t="s">
        <v>46</v>
      </c>
      <c r="AB1383" s="2" t="s">
        <v>4398</v>
      </c>
      <c r="AC1383" t="s">
        <v>43</v>
      </c>
      <c r="AD1383" t="s">
        <v>43</v>
      </c>
      <c r="AE1383" t="s">
        <v>43</v>
      </c>
      <c r="AF1383" t="s">
        <v>43</v>
      </c>
      <c r="AG1383" t="s">
        <v>43</v>
      </c>
      <c r="AH1383" s="2" t="s">
        <v>43</v>
      </c>
    </row>
    <row r="1384" spans="1:34" ht="60">
      <c r="A1384" s="6" t="s">
        <v>390</v>
      </c>
      <c r="B1384" s="7">
        <v>46028</v>
      </c>
      <c r="C1384" s="9" t="str">
        <f>HYPERLINK("https://eping.wto.org/en/Search?viewData= G/TBT/N/BDI/697, G/TBT/N/KEN/1959, G/TBT/N/RWA/1327, G/TBT/N/TZA/1477, G/TBT/N/UGA/2295"," G/TBT/N/BDI/697, G/TBT/N/KEN/1959, G/TBT/N/RWA/1327, G/TBT/N/TZA/1477, G/TBT/N/UGA/2295")</f>
        <v xml:space="preserve"> G/TBT/N/BDI/697, G/TBT/N/KEN/1959, G/TBT/N/RWA/1327, G/TBT/N/TZA/1477, G/TBT/N/UGA/2295</v>
      </c>
      <c r="D1384" s="8" t="s">
        <v>5309</v>
      </c>
      <c r="E1384" s="8" t="s">
        <v>5310</v>
      </c>
      <c r="F1384" s="8" t="s">
        <v>4384</v>
      </c>
      <c r="G1384" s="8" t="s">
        <v>43</v>
      </c>
      <c r="H1384" s="8" t="s">
        <v>4385</v>
      </c>
      <c r="I1384" s="8" t="s">
        <v>2058</v>
      </c>
      <c r="J1384" s="8" t="s">
        <v>43</v>
      </c>
      <c r="K1384" s="8" t="s">
        <v>43</v>
      </c>
      <c r="L1384" s="6"/>
      <c r="M1384" s="7">
        <v>46088</v>
      </c>
      <c r="N1384" s="7">
        <v>46112</v>
      </c>
      <c r="O1384" s="7" t="s">
        <v>79</v>
      </c>
      <c r="P1384" s="6" t="s">
        <v>62</v>
      </c>
      <c r="Q1384" s="8" t="s">
        <v>5311</v>
      </c>
      <c r="R1384" t="str">
        <f>HYPERLINK("https://docs.wto.org/imrd/directdoc.asp?DDFDocuments/t/G/TBTN26/BDI697.docx", "https://docs.wto.org/imrd/directdoc.asp?DDFDocuments/t/G/TBTN26/BDI697.docx")</f>
        <v>https://docs.wto.org/imrd/directdoc.asp?DDFDocuments/t/G/TBTN26/BDI697.docx</v>
      </c>
      <c r="S1384" t="str">
        <f>HYPERLINK("https://docs.wto.org/imrd/directdoc.asp?DDFDocuments/u/G/TBTN26/BDI697.docx", "https://docs.wto.org/imrd/directdoc.asp?DDFDocuments/u/G/TBTN26/BDI697.docx")</f>
        <v>https://docs.wto.org/imrd/directdoc.asp?DDFDocuments/u/G/TBTN26/BDI697.docx</v>
      </c>
      <c r="T1384" t="str">
        <f>HYPERLINK("https://docs.wto.org/imrd/directdoc.asp?DDFDocuments/v/G/TBTN26/BDI697.docx", "https://docs.wto.org/imrd/directdoc.asp?DDFDocuments/v/G/TBTN26/BDI697.docx")</f>
        <v>https://docs.wto.org/imrd/directdoc.asp?DDFDocuments/v/G/TBTN26/BDI697.docx</v>
      </c>
      <c r="U1384" t="s">
        <v>64</v>
      </c>
      <c r="V1384" t="s">
        <v>46</v>
      </c>
      <c r="W1384" t="s">
        <v>64</v>
      </c>
      <c r="X1384" t="s">
        <v>46</v>
      </c>
      <c r="Y1384" t="s">
        <v>46</v>
      </c>
      <c r="Z1384" t="s">
        <v>46</v>
      </c>
      <c r="AA1384" t="s">
        <v>46</v>
      </c>
      <c r="AB1384" s="2" t="s">
        <v>4398</v>
      </c>
      <c r="AC1384" t="s">
        <v>43</v>
      </c>
      <c r="AD1384" t="s">
        <v>43</v>
      </c>
      <c r="AE1384" t="s">
        <v>43</v>
      </c>
      <c r="AF1384" t="s">
        <v>43</v>
      </c>
      <c r="AG1384" t="s">
        <v>43</v>
      </c>
      <c r="AH1384" s="2" t="s">
        <v>43</v>
      </c>
    </row>
    <row r="1385" spans="1:34" ht="60">
      <c r="A1385" s="6" t="s">
        <v>509</v>
      </c>
      <c r="B1385" s="7">
        <v>46028</v>
      </c>
      <c r="C1385" s="9" t="str">
        <f>HYPERLINK("https://eping.wto.org/en/Search?viewData= G/TBT/N/BDI/697, G/TBT/N/KEN/1959, G/TBT/N/RWA/1327, G/TBT/N/TZA/1477, G/TBT/N/UGA/2295"," G/TBT/N/BDI/697, G/TBT/N/KEN/1959, G/TBT/N/RWA/1327, G/TBT/N/TZA/1477, G/TBT/N/UGA/2295")</f>
        <v xml:space="preserve"> G/TBT/N/BDI/697, G/TBT/N/KEN/1959, G/TBT/N/RWA/1327, G/TBT/N/TZA/1477, G/TBT/N/UGA/2295</v>
      </c>
      <c r="D1385" s="8" t="s">
        <v>5309</v>
      </c>
      <c r="E1385" s="8" t="s">
        <v>5310</v>
      </c>
      <c r="F1385" s="8" t="s">
        <v>4384</v>
      </c>
      <c r="G1385" s="8" t="s">
        <v>43</v>
      </c>
      <c r="H1385" s="8" t="s">
        <v>4385</v>
      </c>
      <c r="I1385" s="8" t="s">
        <v>2058</v>
      </c>
      <c r="J1385" s="8" t="s">
        <v>43</v>
      </c>
      <c r="K1385" s="8" t="s">
        <v>43</v>
      </c>
      <c r="L1385" s="6"/>
      <c r="M1385" s="7">
        <v>46088</v>
      </c>
      <c r="N1385" s="7">
        <v>46112</v>
      </c>
      <c r="O1385" s="7" t="s">
        <v>79</v>
      </c>
      <c r="P1385" s="6" t="s">
        <v>62</v>
      </c>
      <c r="Q1385" s="8" t="s">
        <v>5311</v>
      </c>
      <c r="R1385" t="str">
        <f>HYPERLINK("https://docs.wto.org/imrd/directdoc.asp?DDFDocuments/t/G/TBTN26/BDI697.docx", "https://docs.wto.org/imrd/directdoc.asp?DDFDocuments/t/G/TBTN26/BDI697.docx")</f>
        <v>https://docs.wto.org/imrd/directdoc.asp?DDFDocuments/t/G/TBTN26/BDI697.docx</v>
      </c>
      <c r="S1385" t="str">
        <f>HYPERLINK("https://docs.wto.org/imrd/directdoc.asp?DDFDocuments/u/G/TBTN26/BDI697.docx", "https://docs.wto.org/imrd/directdoc.asp?DDFDocuments/u/G/TBTN26/BDI697.docx")</f>
        <v>https://docs.wto.org/imrd/directdoc.asp?DDFDocuments/u/G/TBTN26/BDI697.docx</v>
      </c>
      <c r="T1385" t="str">
        <f>HYPERLINK("https://docs.wto.org/imrd/directdoc.asp?DDFDocuments/v/G/TBTN26/BDI697.docx", "https://docs.wto.org/imrd/directdoc.asp?DDFDocuments/v/G/TBTN26/BDI697.docx")</f>
        <v>https://docs.wto.org/imrd/directdoc.asp?DDFDocuments/v/G/TBTN26/BDI697.docx</v>
      </c>
      <c r="U1385" t="s">
        <v>64</v>
      </c>
      <c r="V1385" t="s">
        <v>46</v>
      </c>
      <c r="W1385" t="s">
        <v>64</v>
      </c>
      <c r="X1385" t="s">
        <v>46</v>
      </c>
      <c r="Y1385" t="s">
        <v>46</v>
      </c>
      <c r="Z1385" t="s">
        <v>46</v>
      </c>
      <c r="AA1385" t="s">
        <v>46</v>
      </c>
      <c r="AB1385" s="2" t="s">
        <v>4398</v>
      </c>
      <c r="AC1385" t="s">
        <v>43</v>
      </c>
      <c r="AD1385" t="s">
        <v>43</v>
      </c>
      <c r="AE1385" t="s">
        <v>43</v>
      </c>
      <c r="AF1385" t="s">
        <v>43</v>
      </c>
      <c r="AG1385" t="s">
        <v>43</v>
      </c>
      <c r="AH1385" s="2" t="s">
        <v>43</v>
      </c>
    </row>
    <row r="1386" spans="1:34" ht="45">
      <c r="A1386" s="6" t="s">
        <v>108</v>
      </c>
      <c r="B1386" s="7">
        <v>46028</v>
      </c>
      <c r="C1386" s="9" t="str">
        <f>HYPERLINK("https://eping.wto.org/en/Search?viewData= G/TBT/N/BDI/699, G/TBT/N/KEN/1961, G/TBT/N/RWA/1329, G/TBT/N/TZA/1479, G/TBT/N/UGA/2297"," G/TBT/N/BDI/699, G/TBT/N/KEN/1961, G/TBT/N/RWA/1329, G/TBT/N/TZA/1479, G/TBT/N/UGA/2297")</f>
        <v xml:space="preserve"> G/TBT/N/BDI/699, G/TBT/N/KEN/1961, G/TBT/N/RWA/1329, G/TBT/N/TZA/1479, G/TBT/N/UGA/2297</v>
      </c>
      <c r="D1386" s="8" t="s">
        <v>5312</v>
      </c>
      <c r="E1386" s="8" t="s">
        <v>4364</v>
      </c>
      <c r="F1386" s="8" t="s">
        <v>4384</v>
      </c>
      <c r="G1386" s="8" t="s">
        <v>43</v>
      </c>
      <c r="H1386" s="8" t="s">
        <v>4385</v>
      </c>
      <c r="I1386" s="8" t="s">
        <v>2058</v>
      </c>
      <c r="J1386" s="8" t="s">
        <v>43</v>
      </c>
      <c r="K1386" s="8" t="s">
        <v>43</v>
      </c>
      <c r="L1386" s="6"/>
      <c r="M1386" s="7">
        <v>46088</v>
      </c>
      <c r="N1386" s="7">
        <v>46112</v>
      </c>
      <c r="O1386" s="7" t="s">
        <v>79</v>
      </c>
      <c r="P1386" s="6" t="s">
        <v>62</v>
      </c>
      <c r="Q1386" s="8" t="s">
        <v>5313</v>
      </c>
      <c r="R1386" t="str">
        <f>HYPERLINK("https://docs.wto.org/imrd/directdoc.asp?DDFDocuments/t/G/TBTN26/BDI699.docx", "https://docs.wto.org/imrd/directdoc.asp?DDFDocuments/t/G/TBTN26/BDI699.docx")</f>
        <v>https://docs.wto.org/imrd/directdoc.asp?DDFDocuments/t/G/TBTN26/BDI699.docx</v>
      </c>
      <c r="S1386" t="str">
        <f>HYPERLINK("https://docs.wto.org/imrd/directdoc.asp?DDFDocuments/u/G/TBTN26/BDI699.docx", "https://docs.wto.org/imrd/directdoc.asp?DDFDocuments/u/G/TBTN26/BDI699.docx")</f>
        <v>https://docs.wto.org/imrd/directdoc.asp?DDFDocuments/u/G/TBTN26/BDI699.docx</v>
      </c>
      <c r="T1386" t="str">
        <f>HYPERLINK("https://docs.wto.org/imrd/directdoc.asp?DDFDocuments/v/G/TBTN26/BDI699.docx", "https://docs.wto.org/imrd/directdoc.asp?DDFDocuments/v/G/TBTN26/BDI699.docx")</f>
        <v>https://docs.wto.org/imrd/directdoc.asp?DDFDocuments/v/G/TBTN26/BDI699.docx</v>
      </c>
      <c r="U1386" t="s">
        <v>64</v>
      </c>
      <c r="V1386" t="s">
        <v>46</v>
      </c>
      <c r="W1386" t="s">
        <v>46</v>
      </c>
      <c r="X1386" t="s">
        <v>46</v>
      </c>
      <c r="Y1386" t="s">
        <v>46</v>
      </c>
      <c r="Z1386" t="s">
        <v>46</v>
      </c>
      <c r="AA1386" t="s">
        <v>46</v>
      </c>
      <c r="AB1386" s="2" t="s">
        <v>5314</v>
      </c>
      <c r="AC1386" t="s">
        <v>43</v>
      </c>
      <c r="AD1386" t="s">
        <v>43</v>
      </c>
      <c r="AE1386" t="s">
        <v>43</v>
      </c>
      <c r="AF1386" t="s">
        <v>43</v>
      </c>
      <c r="AG1386" t="s">
        <v>43</v>
      </c>
      <c r="AH1386" s="2" t="s">
        <v>43</v>
      </c>
    </row>
    <row r="1387" spans="1:34" ht="30">
      <c r="A1387" s="6" t="s">
        <v>509</v>
      </c>
      <c r="B1387" s="7">
        <v>46028</v>
      </c>
      <c r="C1387" s="9" t="str">
        <f>HYPERLINK("https://eping.wto.org/en/Search?viewData= G/TBT/N/BDI/700, G/TBT/N/KEN/1962, G/TBT/N/RWA/1330, G/TBT/N/TZA/1480, G/TBT/N/UGA/2298"," G/TBT/N/BDI/700, G/TBT/N/KEN/1962, G/TBT/N/RWA/1330, G/TBT/N/TZA/1480, G/TBT/N/UGA/2298")</f>
        <v xml:space="preserve"> G/TBT/N/BDI/700, G/TBT/N/KEN/1962, G/TBT/N/RWA/1330, G/TBT/N/TZA/1480, G/TBT/N/UGA/2298</v>
      </c>
      <c r="D1387" s="8" t="s">
        <v>5361</v>
      </c>
      <c r="E1387" s="8" t="s">
        <v>4418</v>
      </c>
      <c r="F1387" s="8" t="s">
        <v>4419</v>
      </c>
      <c r="G1387" s="8" t="s">
        <v>43</v>
      </c>
      <c r="H1387" s="8" t="s">
        <v>4420</v>
      </c>
      <c r="I1387" s="8" t="s">
        <v>2058</v>
      </c>
      <c r="J1387" s="8" t="s">
        <v>43</v>
      </c>
      <c r="K1387" s="8" t="s">
        <v>43</v>
      </c>
      <c r="L1387" s="6"/>
      <c r="M1387" s="7">
        <v>46088</v>
      </c>
      <c r="N1387" s="7">
        <v>46112</v>
      </c>
      <c r="O1387" s="7" t="s">
        <v>79</v>
      </c>
      <c r="P1387" s="6" t="s">
        <v>62</v>
      </c>
      <c r="Q1387" s="8" t="s">
        <v>5362</v>
      </c>
      <c r="R1387" t="str">
        <f>HYPERLINK("https://docs.wto.org/imrd/directdoc.asp?DDFDocuments/t/G/TBTN26/BDI700.docx", "https://docs.wto.org/imrd/directdoc.asp?DDFDocuments/t/G/TBTN26/BDI700.docx")</f>
        <v>https://docs.wto.org/imrd/directdoc.asp?DDFDocuments/t/G/TBTN26/BDI700.docx</v>
      </c>
      <c r="S1387" t="str">
        <f>HYPERLINK("https://docs.wto.org/imrd/directdoc.asp?DDFDocuments/u/G/TBTN26/BDI700.docx", "https://docs.wto.org/imrd/directdoc.asp?DDFDocuments/u/G/TBTN26/BDI700.docx")</f>
        <v>https://docs.wto.org/imrd/directdoc.asp?DDFDocuments/u/G/TBTN26/BDI700.docx</v>
      </c>
      <c r="T1387" t="str">
        <f>HYPERLINK("https://docs.wto.org/imrd/directdoc.asp?DDFDocuments/v/G/TBTN26/BDI700.docx", "https://docs.wto.org/imrd/directdoc.asp?DDFDocuments/v/G/TBTN26/BDI700.docx")</f>
        <v>https://docs.wto.org/imrd/directdoc.asp?DDFDocuments/v/G/TBTN26/BDI700.docx</v>
      </c>
      <c r="U1387" t="s">
        <v>64</v>
      </c>
      <c r="V1387" t="s">
        <v>46</v>
      </c>
      <c r="W1387" t="s">
        <v>46</v>
      </c>
      <c r="X1387" t="s">
        <v>46</v>
      </c>
      <c r="Y1387" t="s">
        <v>46</v>
      </c>
      <c r="Z1387" t="s">
        <v>46</v>
      </c>
      <c r="AA1387" t="s">
        <v>46</v>
      </c>
      <c r="AB1387" s="2" t="s">
        <v>4422</v>
      </c>
      <c r="AC1387" t="s">
        <v>43</v>
      </c>
      <c r="AD1387" t="s">
        <v>43</v>
      </c>
      <c r="AE1387" t="s">
        <v>43</v>
      </c>
      <c r="AF1387" t="s">
        <v>43</v>
      </c>
      <c r="AG1387" t="s">
        <v>43</v>
      </c>
      <c r="AH1387" s="2" t="s">
        <v>43</v>
      </c>
    </row>
    <row r="1388" spans="1:34" ht="45">
      <c r="A1388" s="6" t="s">
        <v>577</v>
      </c>
      <c r="B1388" s="7">
        <v>46028</v>
      </c>
      <c r="C1388" s="9" t="str">
        <f>HYPERLINK("https://eping.wto.org/en/Search?viewData= G/TBT/N/BDI/698, G/TBT/N/KEN/1960, G/TBT/N/RWA/1328, G/TBT/N/TZA/1478, G/TBT/N/UGA/2296"," G/TBT/N/BDI/698, G/TBT/N/KEN/1960, G/TBT/N/RWA/1328, G/TBT/N/TZA/1478, G/TBT/N/UGA/2296")</f>
        <v xml:space="preserve"> G/TBT/N/BDI/698, G/TBT/N/KEN/1960, G/TBT/N/RWA/1328, G/TBT/N/TZA/1478, G/TBT/N/UGA/2296</v>
      </c>
      <c r="D1388" s="8" t="s">
        <v>5321</v>
      </c>
      <c r="E1388" s="8" t="s">
        <v>5322</v>
      </c>
      <c r="F1388" s="8" t="s">
        <v>4384</v>
      </c>
      <c r="G1388" s="8" t="s">
        <v>43</v>
      </c>
      <c r="H1388" s="8" t="s">
        <v>4385</v>
      </c>
      <c r="I1388" s="8" t="s">
        <v>2058</v>
      </c>
      <c r="J1388" s="8" t="s">
        <v>43</v>
      </c>
      <c r="K1388" s="8" t="s">
        <v>43</v>
      </c>
      <c r="L1388" s="6"/>
      <c r="M1388" s="7">
        <v>46088</v>
      </c>
      <c r="N1388" s="7">
        <v>46112</v>
      </c>
      <c r="O1388" s="7" t="s">
        <v>79</v>
      </c>
      <c r="P1388" s="6" t="s">
        <v>62</v>
      </c>
      <c r="Q1388" s="8" t="s">
        <v>5323</v>
      </c>
      <c r="R1388" t="str">
        <f>HYPERLINK("https://docs.wto.org/imrd/directdoc.asp?DDFDocuments/t/G/TBTN26/BDI698.docx", "https://docs.wto.org/imrd/directdoc.asp?DDFDocuments/t/G/TBTN26/BDI698.docx")</f>
        <v>https://docs.wto.org/imrd/directdoc.asp?DDFDocuments/t/G/TBTN26/BDI698.docx</v>
      </c>
      <c r="S1388" t="str">
        <f>HYPERLINK("https://docs.wto.org/imrd/directdoc.asp?DDFDocuments/u/G/TBTN26/BDI698.docx", "https://docs.wto.org/imrd/directdoc.asp?DDFDocuments/u/G/TBTN26/BDI698.docx")</f>
        <v>https://docs.wto.org/imrd/directdoc.asp?DDFDocuments/u/G/TBTN26/BDI698.docx</v>
      </c>
      <c r="T1388" t="str">
        <f>HYPERLINK("https://docs.wto.org/imrd/directdoc.asp?DDFDocuments/v/G/TBTN26/BDI698.docx", "https://docs.wto.org/imrd/directdoc.asp?DDFDocuments/v/G/TBTN26/BDI698.docx")</f>
        <v>https://docs.wto.org/imrd/directdoc.asp?DDFDocuments/v/G/TBTN26/BDI698.docx</v>
      </c>
      <c r="U1388" t="s">
        <v>64</v>
      </c>
      <c r="V1388" t="s">
        <v>46</v>
      </c>
      <c r="W1388" t="s">
        <v>64</v>
      </c>
      <c r="X1388" t="s">
        <v>46</v>
      </c>
      <c r="Y1388" t="s">
        <v>46</v>
      </c>
      <c r="Z1388" t="s">
        <v>46</v>
      </c>
      <c r="AA1388" t="s">
        <v>46</v>
      </c>
      <c r="AB1388" s="2" t="s">
        <v>145</v>
      </c>
      <c r="AC1388" t="s">
        <v>43</v>
      </c>
      <c r="AD1388" t="s">
        <v>43</v>
      </c>
      <c r="AE1388" t="s">
        <v>43</v>
      </c>
      <c r="AF1388" t="s">
        <v>43</v>
      </c>
      <c r="AG1388" t="s">
        <v>43</v>
      </c>
      <c r="AH1388" s="2" t="s">
        <v>43</v>
      </c>
    </row>
    <row r="1389" spans="1:34" ht="240">
      <c r="A1389" s="6" t="s">
        <v>892</v>
      </c>
      <c r="B1389" s="7">
        <v>46028</v>
      </c>
      <c r="C1389" s="9" t="str">
        <f>HYPERLINK("https://eping.wto.org/en/Search?viewData= G/TBT/N/PAN/140"," G/TBT/N/PAN/140")</f>
        <v xml:space="preserve"> G/TBT/N/PAN/140</v>
      </c>
      <c r="D1389" s="8" t="s">
        <v>5373</v>
      </c>
      <c r="E1389" s="8" t="s">
        <v>5374</v>
      </c>
      <c r="F1389" s="8" t="s">
        <v>1550</v>
      </c>
      <c r="G1389" s="8" t="s">
        <v>4903</v>
      </c>
      <c r="H1389" s="8" t="s">
        <v>431</v>
      </c>
      <c r="I1389" s="8" t="s">
        <v>1483</v>
      </c>
      <c r="J1389" s="8" t="s">
        <v>43</v>
      </c>
      <c r="K1389" s="8" t="s">
        <v>240</v>
      </c>
      <c r="L1389" s="6"/>
      <c r="M1389" s="7">
        <v>46088</v>
      </c>
      <c r="N1389" s="7" t="s">
        <v>79</v>
      </c>
      <c r="O1389" s="7" t="s">
        <v>79</v>
      </c>
      <c r="P1389" s="6" t="s">
        <v>62</v>
      </c>
      <c r="Q1389" s="8" t="s">
        <v>5375</v>
      </c>
      <c r="R1389" t="str">
        <f>HYPERLINK("https://docs.wto.org/imrd/directdoc.asp?DDFDocuments/t/G/TBTN26/PAN140.docx", "https://docs.wto.org/imrd/directdoc.asp?DDFDocuments/t/G/TBTN26/PAN140.docx")</f>
        <v>https://docs.wto.org/imrd/directdoc.asp?DDFDocuments/t/G/TBTN26/PAN140.docx</v>
      </c>
      <c r="S1389" t="str">
        <f>HYPERLINK("https://docs.wto.org/imrd/directdoc.asp?DDFDocuments/u/G/TBTN26/PAN140.docx", "https://docs.wto.org/imrd/directdoc.asp?DDFDocuments/u/G/TBTN26/PAN140.docx")</f>
        <v>https://docs.wto.org/imrd/directdoc.asp?DDFDocuments/u/G/TBTN26/PAN140.docx</v>
      </c>
      <c r="T1389" t="str">
        <f>HYPERLINK("https://docs.wto.org/imrd/directdoc.asp?DDFDocuments/v/G/TBTN26/PAN140.docx", "https://docs.wto.org/imrd/directdoc.asp?DDFDocuments/v/G/TBTN26/PAN140.docx")</f>
        <v>https://docs.wto.org/imrd/directdoc.asp?DDFDocuments/v/G/TBTN26/PAN140.docx</v>
      </c>
      <c r="U1389" t="s">
        <v>64</v>
      </c>
      <c r="V1389" t="s">
        <v>46</v>
      </c>
      <c r="W1389" t="s">
        <v>46</v>
      </c>
      <c r="X1389" t="s">
        <v>46</v>
      </c>
      <c r="Y1389" t="s">
        <v>46</v>
      </c>
      <c r="Z1389" t="s">
        <v>46</v>
      </c>
      <c r="AA1389" t="s">
        <v>46</v>
      </c>
      <c r="AB1389" s="2" t="s">
        <v>5376</v>
      </c>
      <c r="AC1389" t="s">
        <v>43</v>
      </c>
      <c r="AD1389" t="s">
        <v>43</v>
      </c>
      <c r="AE1389" t="s">
        <v>43</v>
      </c>
      <c r="AF1389" t="s">
        <v>43</v>
      </c>
      <c r="AG1389" t="s">
        <v>43</v>
      </c>
      <c r="AH1389" s="2" t="s">
        <v>43</v>
      </c>
    </row>
    <row r="1390" spans="1:34" ht="90">
      <c r="A1390" s="6" t="s">
        <v>325</v>
      </c>
      <c r="B1390" s="7">
        <v>46028</v>
      </c>
      <c r="C1390" s="9" t="str">
        <f>HYPERLINK("https://eping.wto.org/en/Search?viewData= G/TBT/N/TPKM/574/Add.1"," G/TBT/N/TPKM/574/Add.1")</f>
        <v xml:space="preserve"> G/TBT/N/TPKM/574/Add.1</v>
      </c>
      <c r="D1390" s="8" t="s">
        <v>5377</v>
      </c>
      <c r="E1390" s="8" t="s">
        <v>5378</v>
      </c>
      <c r="F1390" s="8" t="s">
        <v>5379</v>
      </c>
      <c r="G1390" s="8" t="s">
        <v>5380</v>
      </c>
      <c r="H1390" s="8" t="s">
        <v>5381</v>
      </c>
      <c r="I1390" s="8" t="s">
        <v>275</v>
      </c>
      <c r="J1390" s="8" t="s">
        <v>43</v>
      </c>
      <c r="K1390" s="8" t="s">
        <v>43</v>
      </c>
      <c r="L1390" s="6"/>
      <c r="M1390" s="7" t="s">
        <v>43</v>
      </c>
      <c r="N1390" s="7"/>
      <c r="O1390" s="7"/>
      <c r="P1390" s="6" t="s">
        <v>44</v>
      </c>
      <c r="Q1390" s="8" t="s">
        <v>5382</v>
      </c>
      <c r="R1390" t="str">
        <f>HYPERLINK("https://docs.wto.org/imrd/directdoc.asp?DDFDocuments/t/G/TBTN25/TPKM574A1.docx", "https://docs.wto.org/imrd/directdoc.asp?DDFDocuments/t/G/TBTN25/TPKM574A1.docx")</f>
        <v>https://docs.wto.org/imrd/directdoc.asp?DDFDocuments/t/G/TBTN25/TPKM574A1.docx</v>
      </c>
      <c r="S1390" t="str">
        <f>HYPERLINK("https://docs.wto.org/imrd/directdoc.asp?DDFDocuments/u/G/TBTN25/TPKM574A1.docx", "https://docs.wto.org/imrd/directdoc.asp?DDFDocuments/u/G/TBTN25/TPKM574A1.docx")</f>
        <v>https://docs.wto.org/imrd/directdoc.asp?DDFDocuments/u/G/TBTN25/TPKM574A1.docx</v>
      </c>
      <c r="T1390" t="str">
        <f>HYPERLINK("https://docs.wto.org/imrd/directdoc.asp?DDFDocuments/v/G/TBTN25/TPKM574A1.docx", "https://docs.wto.org/imrd/directdoc.asp?DDFDocuments/v/G/TBTN25/TPKM574A1.docx")</f>
        <v>https://docs.wto.org/imrd/directdoc.asp?DDFDocuments/v/G/TBTN25/TPKM574A1.docx</v>
      </c>
      <c r="U1390" t="s">
        <v>46</v>
      </c>
      <c r="V1390" t="s">
        <v>46</v>
      </c>
      <c r="W1390" t="s">
        <v>46</v>
      </c>
      <c r="X1390" t="s">
        <v>46</v>
      </c>
      <c r="Y1390" t="s">
        <v>46</v>
      </c>
      <c r="Z1390" t="s">
        <v>46</v>
      </c>
      <c r="AA1390" t="s">
        <v>46</v>
      </c>
      <c r="AB1390" s="2" t="s">
        <v>43</v>
      </c>
      <c r="AC1390" t="s">
        <v>43</v>
      </c>
      <c r="AD1390" t="s">
        <v>43</v>
      </c>
      <c r="AE1390" t="s">
        <v>43</v>
      </c>
      <c r="AF1390" t="s">
        <v>43</v>
      </c>
      <c r="AG1390" t="s">
        <v>43</v>
      </c>
      <c r="AH1390" s="2" t="s">
        <v>43</v>
      </c>
    </row>
    <row r="1391" spans="1:34" ht="240">
      <c r="A1391" s="6" t="s">
        <v>892</v>
      </c>
      <c r="B1391" s="7">
        <v>46028</v>
      </c>
      <c r="C1391" s="9" t="str">
        <f>HYPERLINK("https://eping.wto.org/en/Search?viewData= G/TBT/N/PAN/137"," G/TBT/N/PAN/137")</f>
        <v xml:space="preserve"> G/TBT/N/PAN/137</v>
      </c>
      <c r="D1391" s="8" t="s">
        <v>5383</v>
      </c>
      <c r="E1391" s="8" t="s">
        <v>5384</v>
      </c>
      <c r="F1391" s="8" t="s">
        <v>1493</v>
      </c>
      <c r="G1391" s="8" t="s">
        <v>43</v>
      </c>
      <c r="H1391" s="8" t="s">
        <v>1406</v>
      </c>
      <c r="I1391" s="8" t="s">
        <v>1483</v>
      </c>
      <c r="J1391" s="8" t="s">
        <v>43</v>
      </c>
      <c r="K1391" s="8" t="s">
        <v>240</v>
      </c>
      <c r="L1391" s="6"/>
      <c r="M1391" s="7">
        <v>46088</v>
      </c>
      <c r="N1391" s="7" t="s">
        <v>79</v>
      </c>
      <c r="O1391" s="7" t="s">
        <v>79</v>
      </c>
      <c r="P1391" s="6" t="s">
        <v>62</v>
      </c>
      <c r="Q1391" s="8" t="s">
        <v>5385</v>
      </c>
      <c r="R1391" t="str">
        <f>HYPERLINK("https://docs.wto.org/imrd/directdoc.asp?DDFDocuments/t/G/TBTN26/PAN137.docx", "https://docs.wto.org/imrd/directdoc.asp?DDFDocuments/t/G/TBTN26/PAN137.docx")</f>
        <v>https://docs.wto.org/imrd/directdoc.asp?DDFDocuments/t/G/TBTN26/PAN137.docx</v>
      </c>
      <c r="S1391" t="str">
        <f>HYPERLINK("https://docs.wto.org/imrd/directdoc.asp?DDFDocuments/u/G/TBTN26/PAN137.docx", "https://docs.wto.org/imrd/directdoc.asp?DDFDocuments/u/G/TBTN26/PAN137.docx")</f>
        <v>https://docs.wto.org/imrd/directdoc.asp?DDFDocuments/u/G/TBTN26/PAN137.docx</v>
      </c>
      <c r="T1391" t="str">
        <f>HYPERLINK("https://docs.wto.org/imrd/directdoc.asp?DDFDocuments/v/G/TBTN26/PAN137.docx", "https://docs.wto.org/imrd/directdoc.asp?DDFDocuments/v/G/TBTN26/PAN137.docx")</f>
        <v>https://docs.wto.org/imrd/directdoc.asp?DDFDocuments/v/G/TBTN26/PAN137.docx</v>
      </c>
      <c r="U1391" t="s">
        <v>64</v>
      </c>
      <c r="V1391" t="s">
        <v>46</v>
      </c>
      <c r="W1391" t="s">
        <v>46</v>
      </c>
      <c r="X1391" t="s">
        <v>46</v>
      </c>
      <c r="Y1391" t="s">
        <v>46</v>
      </c>
      <c r="Z1391" t="s">
        <v>46</v>
      </c>
      <c r="AA1391" t="s">
        <v>46</v>
      </c>
      <c r="AB1391" s="2" t="s">
        <v>5386</v>
      </c>
      <c r="AC1391" t="s">
        <v>43</v>
      </c>
      <c r="AD1391" t="s">
        <v>43</v>
      </c>
      <c r="AE1391" t="s">
        <v>43</v>
      </c>
      <c r="AF1391" t="s">
        <v>43</v>
      </c>
      <c r="AG1391" t="s">
        <v>43</v>
      </c>
      <c r="AH1391" s="2" t="s">
        <v>43</v>
      </c>
    </row>
    <row r="1392" spans="1:34" ht="45">
      <c r="A1392" s="6" t="s">
        <v>577</v>
      </c>
      <c r="B1392" s="7">
        <v>46028</v>
      </c>
      <c r="C1392" s="9" t="str">
        <f>HYPERLINK("https://eping.wto.org/en/Search?viewData= G/TBT/N/BDI/699, G/TBT/N/KEN/1961, G/TBT/N/RWA/1329, G/TBT/N/TZA/1479, G/TBT/N/UGA/2297"," G/TBT/N/BDI/699, G/TBT/N/KEN/1961, G/TBT/N/RWA/1329, G/TBT/N/TZA/1479, G/TBT/N/UGA/2297")</f>
        <v xml:space="preserve"> G/TBT/N/BDI/699, G/TBT/N/KEN/1961, G/TBT/N/RWA/1329, G/TBT/N/TZA/1479, G/TBT/N/UGA/2297</v>
      </c>
      <c r="D1392" s="8" t="s">
        <v>5312</v>
      </c>
      <c r="E1392" s="8" t="s">
        <v>4364</v>
      </c>
      <c r="F1392" s="8" t="s">
        <v>4384</v>
      </c>
      <c r="G1392" s="8" t="s">
        <v>43</v>
      </c>
      <c r="H1392" s="8" t="s">
        <v>4385</v>
      </c>
      <c r="I1392" s="8" t="s">
        <v>2058</v>
      </c>
      <c r="J1392" s="8" t="s">
        <v>43</v>
      </c>
      <c r="K1392" s="8" t="s">
        <v>43</v>
      </c>
      <c r="L1392" s="6"/>
      <c r="M1392" s="7">
        <v>46088</v>
      </c>
      <c r="N1392" s="7">
        <v>46112</v>
      </c>
      <c r="O1392" s="7" t="s">
        <v>79</v>
      </c>
      <c r="P1392" s="6" t="s">
        <v>62</v>
      </c>
      <c r="Q1392" s="8" t="s">
        <v>5313</v>
      </c>
      <c r="R1392" t="str">
        <f>HYPERLINK("https://docs.wto.org/imrd/directdoc.asp?DDFDocuments/t/G/TBTN26/BDI699.docx", "https://docs.wto.org/imrd/directdoc.asp?DDFDocuments/t/G/TBTN26/BDI699.docx")</f>
        <v>https://docs.wto.org/imrd/directdoc.asp?DDFDocuments/t/G/TBTN26/BDI699.docx</v>
      </c>
      <c r="S1392" t="str">
        <f>HYPERLINK("https://docs.wto.org/imrd/directdoc.asp?DDFDocuments/u/G/TBTN26/BDI699.docx", "https://docs.wto.org/imrd/directdoc.asp?DDFDocuments/u/G/TBTN26/BDI699.docx")</f>
        <v>https://docs.wto.org/imrd/directdoc.asp?DDFDocuments/u/G/TBTN26/BDI699.docx</v>
      </c>
      <c r="T1392" t="str">
        <f>HYPERLINK("https://docs.wto.org/imrd/directdoc.asp?DDFDocuments/v/G/TBTN26/BDI699.docx", "https://docs.wto.org/imrd/directdoc.asp?DDFDocuments/v/G/TBTN26/BDI699.docx")</f>
        <v>https://docs.wto.org/imrd/directdoc.asp?DDFDocuments/v/G/TBTN26/BDI699.docx</v>
      </c>
      <c r="U1392" t="s">
        <v>64</v>
      </c>
      <c r="V1392" t="s">
        <v>46</v>
      </c>
      <c r="W1392" t="s">
        <v>46</v>
      </c>
      <c r="X1392" t="s">
        <v>46</v>
      </c>
      <c r="Y1392" t="s">
        <v>46</v>
      </c>
      <c r="Z1392" t="s">
        <v>46</v>
      </c>
      <c r="AA1392" t="s">
        <v>46</v>
      </c>
      <c r="AB1392" s="2" t="s">
        <v>5314</v>
      </c>
      <c r="AC1392" t="s">
        <v>43</v>
      </c>
      <c r="AD1392" t="s">
        <v>43</v>
      </c>
      <c r="AE1392" t="s">
        <v>43</v>
      </c>
      <c r="AF1392" t="s">
        <v>43</v>
      </c>
      <c r="AG1392" t="s">
        <v>43</v>
      </c>
      <c r="AH1392" s="2" t="s">
        <v>43</v>
      </c>
    </row>
    <row r="1393" spans="1:34" ht="45">
      <c r="A1393" s="6" t="s">
        <v>509</v>
      </c>
      <c r="B1393" s="7">
        <v>46028</v>
      </c>
      <c r="C1393" s="9" t="str">
        <f>HYPERLINK("https://eping.wto.org/en/Search?viewData= G/TBT/N/BDI/698, G/TBT/N/KEN/1960, G/TBT/N/RWA/1328, G/TBT/N/TZA/1478, G/TBT/N/UGA/2296"," G/TBT/N/BDI/698, G/TBT/N/KEN/1960, G/TBT/N/RWA/1328, G/TBT/N/TZA/1478, G/TBT/N/UGA/2296")</f>
        <v xml:space="preserve"> G/TBT/N/BDI/698, G/TBT/N/KEN/1960, G/TBT/N/RWA/1328, G/TBT/N/TZA/1478, G/TBT/N/UGA/2296</v>
      </c>
      <c r="D1393" s="8" t="s">
        <v>5321</v>
      </c>
      <c r="E1393" s="8" t="s">
        <v>5322</v>
      </c>
      <c r="F1393" s="8" t="s">
        <v>4384</v>
      </c>
      <c r="G1393" s="8" t="s">
        <v>43</v>
      </c>
      <c r="H1393" s="8" t="s">
        <v>4385</v>
      </c>
      <c r="I1393" s="8" t="s">
        <v>2058</v>
      </c>
      <c r="J1393" s="8" t="s">
        <v>43</v>
      </c>
      <c r="K1393" s="8" t="s">
        <v>43</v>
      </c>
      <c r="L1393" s="6"/>
      <c r="M1393" s="7">
        <v>46088</v>
      </c>
      <c r="N1393" s="7">
        <v>46112</v>
      </c>
      <c r="O1393" s="7" t="s">
        <v>79</v>
      </c>
      <c r="P1393" s="6" t="s">
        <v>62</v>
      </c>
      <c r="Q1393" s="8" t="s">
        <v>5323</v>
      </c>
      <c r="R1393" t="str">
        <f>HYPERLINK("https://docs.wto.org/imrd/directdoc.asp?DDFDocuments/t/G/TBTN26/BDI698.docx", "https://docs.wto.org/imrd/directdoc.asp?DDFDocuments/t/G/TBTN26/BDI698.docx")</f>
        <v>https://docs.wto.org/imrd/directdoc.asp?DDFDocuments/t/G/TBTN26/BDI698.docx</v>
      </c>
      <c r="S1393" t="str">
        <f>HYPERLINK("https://docs.wto.org/imrd/directdoc.asp?DDFDocuments/u/G/TBTN26/BDI698.docx", "https://docs.wto.org/imrd/directdoc.asp?DDFDocuments/u/G/TBTN26/BDI698.docx")</f>
        <v>https://docs.wto.org/imrd/directdoc.asp?DDFDocuments/u/G/TBTN26/BDI698.docx</v>
      </c>
      <c r="T1393" t="str">
        <f>HYPERLINK("https://docs.wto.org/imrd/directdoc.asp?DDFDocuments/v/G/TBTN26/BDI698.docx", "https://docs.wto.org/imrd/directdoc.asp?DDFDocuments/v/G/TBTN26/BDI698.docx")</f>
        <v>https://docs.wto.org/imrd/directdoc.asp?DDFDocuments/v/G/TBTN26/BDI698.docx</v>
      </c>
      <c r="U1393" t="s">
        <v>64</v>
      </c>
      <c r="V1393" t="s">
        <v>46</v>
      </c>
      <c r="W1393" t="s">
        <v>64</v>
      </c>
      <c r="X1393" t="s">
        <v>46</v>
      </c>
      <c r="Y1393" t="s">
        <v>46</v>
      </c>
      <c r="Z1393" t="s">
        <v>46</v>
      </c>
      <c r="AA1393" t="s">
        <v>46</v>
      </c>
      <c r="AB1393" s="2" t="s">
        <v>145</v>
      </c>
      <c r="AC1393" t="s">
        <v>43</v>
      </c>
      <c r="AD1393" t="s">
        <v>43</v>
      </c>
      <c r="AE1393" t="s">
        <v>43</v>
      </c>
      <c r="AF1393" t="s">
        <v>43</v>
      </c>
      <c r="AG1393" t="s">
        <v>43</v>
      </c>
      <c r="AH1393" s="2" t="s">
        <v>43</v>
      </c>
    </row>
    <row r="1394" spans="1:34" ht="409.5">
      <c r="A1394" s="6" t="s">
        <v>577</v>
      </c>
      <c r="B1394" s="7">
        <v>46028</v>
      </c>
      <c r="C1394" s="9" t="str">
        <f>HYPERLINK("https://eping.wto.org/en/Search?viewData= G/TBT/N/BDI/701, G/TBT/N/KEN/1965, G/TBT/N/RWA/1331, G/TBT/N/TZA/1481, G/TBT/N/UGA/2299"," G/TBT/N/BDI/701, G/TBT/N/KEN/1965, G/TBT/N/RWA/1331, G/TBT/N/TZA/1481, G/TBT/N/UGA/2299")</f>
        <v xml:space="preserve"> G/TBT/N/BDI/701, G/TBT/N/KEN/1965, G/TBT/N/RWA/1331, G/TBT/N/TZA/1481, G/TBT/N/UGA/2299</v>
      </c>
      <c r="D1394" s="8" t="s">
        <v>5295</v>
      </c>
      <c r="E1394" s="8" t="s">
        <v>5296</v>
      </c>
      <c r="F1394" s="8" t="s">
        <v>2819</v>
      </c>
      <c r="G1394" s="8" t="s">
        <v>5297</v>
      </c>
      <c r="H1394" s="8" t="s">
        <v>431</v>
      </c>
      <c r="I1394" s="8" t="s">
        <v>2838</v>
      </c>
      <c r="J1394" s="8" t="s">
        <v>43</v>
      </c>
      <c r="K1394" s="8" t="s">
        <v>240</v>
      </c>
      <c r="L1394" s="6"/>
      <c r="M1394" s="7">
        <v>46088</v>
      </c>
      <c r="N1394" s="7" t="s">
        <v>79</v>
      </c>
      <c r="O1394" s="7" t="s">
        <v>114</v>
      </c>
      <c r="P1394" s="6" t="s">
        <v>62</v>
      </c>
      <c r="Q1394" s="8" t="s">
        <v>5298</v>
      </c>
      <c r="R1394" t="str">
        <f>HYPERLINK("https://docs.wto.org/imrd/directdoc.asp?DDFDocuments/t/G/TBTN26/BDI701.docx", "https://docs.wto.org/imrd/directdoc.asp?DDFDocuments/t/G/TBTN26/BDI701.docx")</f>
        <v>https://docs.wto.org/imrd/directdoc.asp?DDFDocuments/t/G/TBTN26/BDI701.docx</v>
      </c>
      <c r="S1394" t="str">
        <f>HYPERLINK("https://docs.wto.org/imrd/directdoc.asp?DDFDocuments/u/G/TBTN26/BDI701.docx", "https://docs.wto.org/imrd/directdoc.asp?DDFDocuments/u/G/TBTN26/BDI701.docx")</f>
        <v>https://docs.wto.org/imrd/directdoc.asp?DDFDocuments/u/G/TBTN26/BDI701.docx</v>
      </c>
      <c r="T1394" t="str">
        <f>HYPERLINK("https://docs.wto.org/imrd/directdoc.asp?DDFDocuments/v/G/TBTN26/BDI701.docx", "https://docs.wto.org/imrd/directdoc.asp?DDFDocuments/v/G/TBTN26/BDI701.docx")</f>
        <v>https://docs.wto.org/imrd/directdoc.asp?DDFDocuments/v/G/TBTN26/BDI701.docx</v>
      </c>
      <c r="U1394" t="s">
        <v>64</v>
      </c>
      <c r="V1394" t="s">
        <v>46</v>
      </c>
      <c r="W1394" t="s">
        <v>46</v>
      </c>
      <c r="X1394" t="s">
        <v>46</v>
      </c>
      <c r="Y1394" t="s">
        <v>46</v>
      </c>
      <c r="Z1394" t="s">
        <v>46</v>
      </c>
      <c r="AA1394" t="s">
        <v>46</v>
      </c>
      <c r="AB1394" s="2" t="s">
        <v>5299</v>
      </c>
      <c r="AC1394" t="s">
        <v>43</v>
      </c>
      <c r="AD1394" t="s">
        <v>43</v>
      </c>
      <c r="AE1394" t="s">
        <v>43</v>
      </c>
      <c r="AF1394" t="s">
        <v>43</v>
      </c>
      <c r="AG1394" t="s">
        <v>43</v>
      </c>
      <c r="AH1394" s="2" t="s">
        <v>43</v>
      </c>
    </row>
    <row r="1395" spans="1:34" ht="30">
      <c r="A1395" s="6" t="s">
        <v>289</v>
      </c>
      <c r="B1395" s="7">
        <v>46028</v>
      </c>
      <c r="C1395" s="9" t="str">
        <f>HYPERLINK("https://eping.wto.org/en/Search?viewData= G/SPS/N/BRA/2452"," G/SPS/N/BRA/2452")</f>
        <v xml:space="preserve"> G/SPS/N/BRA/2452</v>
      </c>
      <c r="D1395" s="8" t="s">
        <v>5387</v>
      </c>
      <c r="E1395" s="8" t="s">
        <v>5388</v>
      </c>
      <c r="F1395" s="8" t="s">
        <v>5389</v>
      </c>
      <c r="G1395" s="8" t="s">
        <v>5390</v>
      </c>
      <c r="H1395" s="8" t="s">
        <v>43</v>
      </c>
      <c r="I1395" s="8" t="s">
        <v>94</v>
      </c>
      <c r="J1395" s="8" t="s">
        <v>43</v>
      </c>
      <c r="K1395" s="8" t="s">
        <v>5391</v>
      </c>
      <c r="L1395" s="6" t="s">
        <v>597</v>
      </c>
      <c r="M1395" s="7">
        <v>46088</v>
      </c>
      <c r="N1395" s="7" t="s">
        <v>304</v>
      </c>
      <c r="O1395" s="7" t="s">
        <v>304</v>
      </c>
      <c r="P1395" s="6" t="s">
        <v>62</v>
      </c>
      <c r="Q1395" s="8" t="s">
        <v>5392</v>
      </c>
      <c r="R1395" t="str">
        <f>HYPERLINK("https://docs.wto.org/imrd/directdoc.asp?DDFDocuments/t/G/SPS/NBRA2452.docx", "https://docs.wto.org/imrd/directdoc.asp?DDFDocuments/t/G/SPS/NBRA2452.docx")</f>
        <v>https://docs.wto.org/imrd/directdoc.asp?DDFDocuments/t/G/SPS/NBRA2452.docx</v>
      </c>
      <c r="S1395" t="str">
        <f>HYPERLINK("https://docs.wto.org/imrd/directdoc.asp?DDFDocuments/u/G/SPS/NBRA2452.docx", "https://docs.wto.org/imrd/directdoc.asp?DDFDocuments/u/G/SPS/NBRA2452.docx")</f>
        <v>https://docs.wto.org/imrd/directdoc.asp?DDFDocuments/u/G/SPS/NBRA2452.docx</v>
      </c>
      <c r="T1395" t="str">
        <f>HYPERLINK("https://docs.wto.org/imrd/directdoc.asp?DDFDocuments/v/G/SPS/NBRA2452.docx", "https://docs.wto.org/imrd/directdoc.asp?DDFDocuments/v/G/SPS/NBRA2452.docx")</f>
        <v>https://docs.wto.org/imrd/directdoc.asp?DDFDocuments/v/G/SPS/NBRA2452.docx</v>
      </c>
      <c r="U1395" t="s">
        <v>43</v>
      </c>
      <c r="V1395" t="s">
        <v>43</v>
      </c>
      <c r="W1395" t="s">
        <v>43</v>
      </c>
      <c r="X1395" t="s">
        <v>43</v>
      </c>
      <c r="Y1395" t="s">
        <v>43</v>
      </c>
      <c r="Z1395" t="s">
        <v>43</v>
      </c>
      <c r="AA1395" t="s">
        <v>43</v>
      </c>
      <c r="AB1395" s="2" t="s">
        <v>43</v>
      </c>
      <c r="AC1395" t="s">
        <v>46</v>
      </c>
      <c r="AD1395" t="s">
        <v>46</v>
      </c>
      <c r="AE1395" t="s">
        <v>64</v>
      </c>
      <c r="AF1395" t="s">
        <v>46</v>
      </c>
      <c r="AG1395" t="s">
        <v>64</v>
      </c>
      <c r="AH1395" s="2" t="s">
        <v>43</v>
      </c>
    </row>
    <row r="1396" spans="1:34" ht="210">
      <c r="A1396" s="6" t="s">
        <v>96</v>
      </c>
      <c r="B1396" s="7">
        <v>46028</v>
      </c>
      <c r="C1396" s="9" t="str">
        <f>HYPERLINK("https://eping.wto.org/en/Search?viewData= G/TBT/N/ISR/1409"," G/TBT/N/ISR/1409")</f>
        <v xml:space="preserve"> G/TBT/N/ISR/1409</v>
      </c>
      <c r="D1396" s="8" t="s">
        <v>5393</v>
      </c>
      <c r="E1396" s="8" t="s">
        <v>5394</v>
      </c>
      <c r="F1396" s="8" t="s">
        <v>5395</v>
      </c>
      <c r="G1396" s="8" t="s">
        <v>43</v>
      </c>
      <c r="H1396" s="8" t="s">
        <v>5396</v>
      </c>
      <c r="I1396" s="8" t="s">
        <v>2239</v>
      </c>
      <c r="J1396" s="8" t="s">
        <v>43</v>
      </c>
      <c r="K1396" s="8" t="s">
        <v>240</v>
      </c>
      <c r="L1396" s="6"/>
      <c r="M1396" s="7">
        <v>46088</v>
      </c>
      <c r="N1396" s="7" t="s">
        <v>79</v>
      </c>
      <c r="O1396" s="7">
        <v>46023</v>
      </c>
      <c r="P1396" s="6" t="s">
        <v>62</v>
      </c>
      <c r="Q1396" s="8" t="s">
        <v>5397</v>
      </c>
      <c r="R1396" t="str">
        <f>HYPERLINK("https://docs.wto.org/imrd/directdoc.asp?DDFDocuments/t/G/TBTN26/ISR1409.docx", "https://docs.wto.org/imrd/directdoc.asp?DDFDocuments/t/G/TBTN26/ISR1409.docx")</f>
        <v>https://docs.wto.org/imrd/directdoc.asp?DDFDocuments/t/G/TBTN26/ISR1409.docx</v>
      </c>
      <c r="S1396" t="str">
        <f>HYPERLINK("https://docs.wto.org/imrd/directdoc.asp?DDFDocuments/u/G/TBTN26/ISR1409.docx", "https://docs.wto.org/imrd/directdoc.asp?DDFDocuments/u/G/TBTN26/ISR1409.docx")</f>
        <v>https://docs.wto.org/imrd/directdoc.asp?DDFDocuments/u/G/TBTN26/ISR1409.docx</v>
      </c>
      <c r="T1396" t="str">
        <f>HYPERLINK("https://docs.wto.org/imrd/directdoc.asp?DDFDocuments/v/G/TBTN26/ISR1409.docx", "https://docs.wto.org/imrd/directdoc.asp?DDFDocuments/v/G/TBTN26/ISR1409.docx")</f>
        <v>https://docs.wto.org/imrd/directdoc.asp?DDFDocuments/v/G/TBTN26/ISR1409.docx</v>
      </c>
      <c r="U1396" t="s">
        <v>64</v>
      </c>
      <c r="V1396" t="s">
        <v>46</v>
      </c>
      <c r="W1396" t="s">
        <v>64</v>
      </c>
      <c r="X1396" t="s">
        <v>46</v>
      </c>
      <c r="Y1396" t="s">
        <v>46</v>
      </c>
      <c r="Z1396" t="s">
        <v>46</v>
      </c>
      <c r="AA1396" t="s">
        <v>46</v>
      </c>
      <c r="AB1396" s="2" t="s">
        <v>5398</v>
      </c>
      <c r="AC1396" t="s">
        <v>43</v>
      </c>
      <c r="AD1396" t="s">
        <v>43</v>
      </c>
      <c r="AE1396" t="s">
        <v>43</v>
      </c>
      <c r="AF1396" t="s">
        <v>43</v>
      </c>
      <c r="AG1396" t="s">
        <v>43</v>
      </c>
      <c r="AH1396" s="2" t="s">
        <v>43</v>
      </c>
    </row>
    <row r="1397" spans="1:34" ht="240">
      <c r="A1397" s="6" t="s">
        <v>892</v>
      </c>
      <c r="B1397" s="7">
        <v>46028</v>
      </c>
      <c r="C1397" s="9" t="str">
        <f>HYPERLINK("https://eping.wto.org/en/Search?viewData= G/TBT/N/PAN/136"," G/TBT/N/PAN/136")</f>
        <v xml:space="preserve"> G/TBT/N/PAN/136</v>
      </c>
      <c r="D1397" s="8" t="s">
        <v>5399</v>
      </c>
      <c r="E1397" s="8" t="s">
        <v>5400</v>
      </c>
      <c r="F1397" s="8" t="s">
        <v>5191</v>
      </c>
      <c r="G1397" s="8" t="s">
        <v>1405</v>
      </c>
      <c r="H1397" s="8" t="s">
        <v>4882</v>
      </c>
      <c r="I1397" s="8" t="s">
        <v>1483</v>
      </c>
      <c r="J1397" s="8" t="s">
        <v>43</v>
      </c>
      <c r="K1397" s="8" t="s">
        <v>240</v>
      </c>
      <c r="L1397" s="6"/>
      <c r="M1397" s="7">
        <v>46088</v>
      </c>
      <c r="N1397" s="7" t="s">
        <v>79</v>
      </c>
      <c r="O1397" s="7" t="s">
        <v>79</v>
      </c>
      <c r="P1397" s="6" t="s">
        <v>62</v>
      </c>
      <c r="Q1397" s="8" t="s">
        <v>5401</v>
      </c>
      <c r="R1397" t="str">
        <f>HYPERLINK("https://docs.wto.org/imrd/directdoc.asp?DDFDocuments/t/G/TBTN26/PAN136.docx", "https://docs.wto.org/imrd/directdoc.asp?DDFDocuments/t/G/TBTN26/PAN136.docx")</f>
        <v>https://docs.wto.org/imrd/directdoc.asp?DDFDocuments/t/G/TBTN26/PAN136.docx</v>
      </c>
      <c r="S1397" t="str">
        <f>HYPERLINK("https://docs.wto.org/imrd/directdoc.asp?DDFDocuments/u/G/TBTN26/PAN136.docx", "https://docs.wto.org/imrd/directdoc.asp?DDFDocuments/u/G/TBTN26/PAN136.docx")</f>
        <v>https://docs.wto.org/imrd/directdoc.asp?DDFDocuments/u/G/TBTN26/PAN136.docx</v>
      </c>
      <c r="T1397" t="str">
        <f>HYPERLINK("https://docs.wto.org/imrd/directdoc.asp?DDFDocuments/v/G/TBTN26/PAN136.docx", "https://docs.wto.org/imrd/directdoc.asp?DDFDocuments/v/G/TBTN26/PAN136.docx")</f>
        <v>https://docs.wto.org/imrd/directdoc.asp?DDFDocuments/v/G/TBTN26/PAN136.docx</v>
      </c>
      <c r="U1397" t="s">
        <v>64</v>
      </c>
      <c r="V1397" t="s">
        <v>46</v>
      </c>
      <c r="W1397" t="s">
        <v>46</v>
      </c>
      <c r="X1397" t="s">
        <v>46</v>
      </c>
      <c r="Y1397" t="s">
        <v>46</v>
      </c>
      <c r="Z1397" t="s">
        <v>46</v>
      </c>
      <c r="AA1397" t="s">
        <v>46</v>
      </c>
      <c r="AB1397" s="2" t="s">
        <v>5402</v>
      </c>
      <c r="AC1397" t="s">
        <v>43</v>
      </c>
      <c r="AD1397" t="s">
        <v>43</v>
      </c>
      <c r="AE1397" t="s">
        <v>43</v>
      </c>
      <c r="AF1397" t="s">
        <v>43</v>
      </c>
      <c r="AG1397" t="s">
        <v>43</v>
      </c>
      <c r="AH1397" s="2" t="s">
        <v>43</v>
      </c>
    </row>
    <row r="1398" spans="1:34" ht="45">
      <c r="A1398" s="6" t="s">
        <v>124</v>
      </c>
      <c r="B1398" s="7">
        <v>46028</v>
      </c>
      <c r="C1398" s="9" t="str">
        <f>HYPERLINK("https://eping.wto.org/en/Search?viewData= G/TBT/N/BDI/699, G/TBT/N/KEN/1961, G/TBT/N/RWA/1329, G/TBT/N/TZA/1479, G/TBT/N/UGA/2297"," G/TBT/N/BDI/699, G/TBT/N/KEN/1961, G/TBT/N/RWA/1329, G/TBT/N/TZA/1479, G/TBT/N/UGA/2297")</f>
        <v xml:space="preserve"> G/TBT/N/BDI/699, G/TBT/N/KEN/1961, G/TBT/N/RWA/1329, G/TBT/N/TZA/1479, G/TBT/N/UGA/2297</v>
      </c>
      <c r="D1398" s="8" t="s">
        <v>5312</v>
      </c>
      <c r="E1398" s="8" t="s">
        <v>4364</v>
      </c>
      <c r="F1398" s="8" t="s">
        <v>4384</v>
      </c>
      <c r="G1398" s="8" t="s">
        <v>43</v>
      </c>
      <c r="H1398" s="8" t="s">
        <v>4385</v>
      </c>
      <c r="I1398" s="8" t="s">
        <v>2058</v>
      </c>
      <c r="J1398" s="8" t="s">
        <v>43</v>
      </c>
      <c r="K1398" s="8" t="s">
        <v>43</v>
      </c>
      <c r="L1398" s="6"/>
      <c r="M1398" s="7">
        <v>46088</v>
      </c>
      <c r="N1398" s="7">
        <v>46112</v>
      </c>
      <c r="O1398" s="7" t="s">
        <v>79</v>
      </c>
      <c r="P1398" s="6" t="s">
        <v>62</v>
      </c>
      <c r="Q1398" s="8" t="s">
        <v>5313</v>
      </c>
      <c r="R1398" t="str">
        <f>HYPERLINK("https://docs.wto.org/imrd/directdoc.asp?DDFDocuments/t/G/TBTN26/BDI699.docx", "https://docs.wto.org/imrd/directdoc.asp?DDFDocuments/t/G/TBTN26/BDI699.docx")</f>
        <v>https://docs.wto.org/imrd/directdoc.asp?DDFDocuments/t/G/TBTN26/BDI699.docx</v>
      </c>
      <c r="S1398" t="str">
        <f>HYPERLINK("https://docs.wto.org/imrd/directdoc.asp?DDFDocuments/u/G/TBTN26/BDI699.docx", "https://docs.wto.org/imrd/directdoc.asp?DDFDocuments/u/G/TBTN26/BDI699.docx")</f>
        <v>https://docs.wto.org/imrd/directdoc.asp?DDFDocuments/u/G/TBTN26/BDI699.docx</v>
      </c>
      <c r="T1398" t="str">
        <f>HYPERLINK("https://docs.wto.org/imrd/directdoc.asp?DDFDocuments/v/G/TBTN26/BDI699.docx", "https://docs.wto.org/imrd/directdoc.asp?DDFDocuments/v/G/TBTN26/BDI699.docx")</f>
        <v>https://docs.wto.org/imrd/directdoc.asp?DDFDocuments/v/G/TBTN26/BDI699.docx</v>
      </c>
      <c r="U1398" t="s">
        <v>64</v>
      </c>
      <c r="V1398" t="s">
        <v>46</v>
      </c>
      <c r="W1398" t="s">
        <v>46</v>
      </c>
      <c r="X1398" t="s">
        <v>46</v>
      </c>
      <c r="Y1398" t="s">
        <v>46</v>
      </c>
      <c r="Z1398" t="s">
        <v>46</v>
      </c>
      <c r="AA1398" t="s">
        <v>46</v>
      </c>
      <c r="AB1398" s="2" t="s">
        <v>5314</v>
      </c>
      <c r="AC1398" t="s">
        <v>43</v>
      </c>
      <c r="AD1398" t="s">
        <v>43</v>
      </c>
      <c r="AE1398" t="s">
        <v>43</v>
      </c>
      <c r="AF1398" t="s">
        <v>43</v>
      </c>
      <c r="AG1398" t="s">
        <v>43</v>
      </c>
      <c r="AH1398" s="2" t="s">
        <v>43</v>
      </c>
    </row>
    <row r="1399" spans="1:34" ht="60">
      <c r="A1399" s="6" t="s">
        <v>124</v>
      </c>
      <c r="B1399" s="7">
        <v>46028</v>
      </c>
      <c r="C1399" s="9" t="str">
        <f>HYPERLINK("https://eping.wto.org/en/Search?viewData= G/TBT/N/BDI/697, G/TBT/N/KEN/1959, G/TBT/N/RWA/1327, G/TBT/N/TZA/1477, G/TBT/N/UGA/2295"," G/TBT/N/BDI/697, G/TBT/N/KEN/1959, G/TBT/N/RWA/1327, G/TBT/N/TZA/1477, G/TBT/N/UGA/2295")</f>
        <v xml:space="preserve"> G/TBT/N/BDI/697, G/TBT/N/KEN/1959, G/TBT/N/RWA/1327, G/TBT/N/TZA/1477, G/TBT/N/UGA/2295</v>
      </c>
      <c r="D1399" s="8" t="s">
        <v>5309</v>
      </c>
      <c r="E1399" s="8" t="s">
        <v>5310</v>
      </c>
      <c r="F1399" s="8" t="s">
        <v>4384</v>
      </c>
      <c r="G1399" s="8" t="s">
        <v>43</v>
      </c>
      <c r="H1399" s="8" t="s">
        <v>4385</v>
      </c>
      <c r="I1399" s="8" t="s">
        <v>2058</v>
      </c>
      <c r="J1399" s="8" t="s">
        <v>43</v>
      </c>
      <c r="K1399" s="8" t="s">
        <v>43</v>
      </c>
      <c r="L1399" s="6"/>
      <c r="M1399" s="7">
        <v>46088</v>
      </c>
      <c r="N1399" s="7">
        <v>46112</v>
      </c>
      <c r="O1399" s="7" t="s">
        <v>79</v>
      </c>
      <c r="P1399" s="6" t="s">
        <v>62</v>
      </c>
      <c r="Q1399" s="8" t="s">
        <v>5311</v>
      </c>
      <c r="R1399" t="str">
        <f>HYPERLINK("https://docs.wto.org/imrd/directdoc.asp?DDFDocuments/t/G/TBTN26/BDI697.docx", "https://docs.wto.org/imrd/directdoc.asp?DDFDocuments/t/G/TBTN26/BDI697.docx")</f>
        <v>https://docs.wto.org/imrd/directdoc.asp?DDFDocuments/t/G/TBTN26/BDI697.docx</v>
      </c>
      <c r="S1399" t="str">
        <f>HYPERLINK("https://docs.wto.org/imrd/directdoc.asp?DDFDocuments/u/G/TBTN26/BDI697.docx", "https://docs.wto.org/imrd/directdoc.asp?DDFDocuments/u/G/TBTN26/BDI697.docx")</f>
        <v>https://docs.wto.org/imrd/directdoc.asp?DDFDocuments/u/G/TBTN26/BDI697.docx</v>
      </c>
      <c r="T1399" t="str">
        <f>HYPERLINK("https://docs.wto.org/imrd/directdoc.asp?DDFDocuments/v/G/TBTN26/BDI697.docx", "https://docs.wto.org/imrd/directdoc.asp?DDFDocuments/v/G/TBTN26/BDI697.docx")</f>
        <v>https://docs.wto.org/imrd/directdoc.asp?DDFDocuments/v/G/TBTN26/BDI697.docx</v>
      </c>
      <c r="U1399" t="s">
        <v>64</v>
      </c>
      <c r="V1399" t="s">
        <v>46</v>
      </c>
      <c r="W1399" t="s">
        <v>64</v>
      </c>
      <c r="X1399" t="s">
        <v>46</v>
      </c>
      <c r="Y1399" t="s">
        <v>46</v>
      </c>
      <c r="Z1399" t="s">
        <v>46</v>
      </c>
      <c r="AA1399" t="s">
        <v>46</v>
      </c>
      <c r="AB1399" s="2" t="s">
        <v>4398</v>
      </c>
      <c r="AC1399" t="s">
        <v>43</v>
      </c>
      <c r="AD1399" t="s">
        <v>43</v>
      </c>
      <c r="AE1399" t="s">
        <v>43</v>
      </c>
      <c r="AF1399" t="s">
        <v>43</v>
      </c>
      <c r="AG1399" t="s">
        <v>43</v>
      </c>
      <c r="AH1399" s="2" t="s">
        <v>43</v>
      </c>
    </row>
    <row r="1400" spans="1:34" ht="45">
      <c r="A1400" s="6" t="s">
        <v>124</v>
      </c>
      <c r="B1400" s="7">
        <v>46028</v>
      </c>
      <c r="C1400" s="9" t="str">
        <f>HYPERLINK("https://eping.wto.org/en/Search?viewData= G/TBT/N/KEN/1964"," G/TBT/N/KEN/1964")</f>
        <v xml:space="preserve"> G/TBT/N/KEN/1964</v>
      </c>
      <c r="D1400" s="8" t="s">
        <v>5403</v>
      </c>
      <c r="E1400" s="8" t="s">
        <v>5404</v>
      </c>
      <c r="F1400" s="8" t="s">
        <v>5405</v>
      </c>
      <c r="G1400" s="8" t="s">
        <v>43</v>
      </c>
      <c r="H1400" s="8" t="s">
        <v>5406</v>
      </c>
      <c r="I1400" s="8" t="s">
        <v>5407</v>
      </c>
      <c r="J1400" s="8" t="s">
        <v>43</v>
      </c>
      <c r="K1400" s="8" t="s">
        <v>43</v>
      </c>
      <c r="L1400" s="6"/>
      <c r="M1400" s="7">
        <v>46088</v>
      </c>
      <c r="N1400" s="7" t="s">
        <v>79</v>
      </c>
      <c r="O1400" s="7" t="s">
        <v>79</v>
      </c>
      <c r="P1400" s="6" t="s">
        <v>62</v>
      </c>
      <c r="Q1400" s="8" t="s">
        <v>5408</v>
      </c>
      <c r="R1400" t="str">
        <f>HYPERLINK("https://docs.wto.org/imrd/directdoc.asp?DDFDocuments/t/G/TBTN26/KEN1964.docx", "https://docs.wto.org/imrd/directdoc.asp?DDFDocuments/t/G/TBTN26/KEN1964.docx")</f>
        <v>https://docs.wto.org/imrd/directdoc.asp?DDFDocuments/t/G/TBTN26/KEN1964.docx</v>
      </c>
      <c r="S1400" t="str">
        <f>HYPERLINK("https://docs.wto.org/imrd/directdoc.asp?DDFDocuments/u/G/TBTN26/KEN1964.docx", "https://docs.wto.org/imrd/directdoc.asp?DDFDocuments/u/G/TBTN26/KEN1964.docx")</f>
        <v>https://docs.wto.org/imrd/directdoc.asp?DDFDocuments/u/G/TBTN26/KEN1964.docx</v>
      </c>
      <c r="T1400" t="str">
        <f>HYPERLINK("https://docs.wto.org/imrd/directdoc.asp?DDFDocuments/v/G/TBTN26/KEN1964.docx", "https://docs.wto.org/imrd/directdoc.asp?DDFDocuments/v/G/TBTN26/KEN1964.docx")</f>
        <v>https://docs.wto.org/imrd/directdoc.asp?DDFDocuments/v/G/TBTN26/KEN1964.docx</v>
      </c>
      <c r="U1400" t="s">
        <v>64</v>
      </c>
      <c r="V1400" t="s">
        <v>46</v>
      </c>
      <c r="W1400" t="s">
        <v>64</v>
      </c>
      <c r="X1400" t="s">
        <v>46</v>
      </c>
      <c r="Y1400" t="s">
        <v>46</v>
      </c>
      <c r="Z1400" t="s">
        <v>46</v>
      </c>
      <c r="AA1400" t="s">
        <v>46</v>
      </c>
      <c r="AB1400" s="2" t="s">
        <v>5409</v>
      </c>
      <c r="AC1400" t="s">
        <v>43</v>
      </c>
      <c r="AD1400" t="s">
        <v>43</v>
      </c>
      <c r="AE1400" t="s">
        <v>43</v>
      </c>
      <c r="AF1400" t="s">
        <v>43</v>
      </c>
      <c r="AG1400" t="s">
        <v>43</v>
      </c>
      <c r="AH1400" s="2" t="s">
        <v>43</v>
      </c>
    </row>
    <row r="1401" spans="1:34" ht="409.5">
      <c r="A1401" s="6" t="s">
        <v>390</v>
      </c>
      <c r="B1401" s="7">
        <v>46028</v>
      </c>
      <c r="C1401" s="9" t="str">
        <f>HYPERLINK("https://eping.wto.org/en/Search?viewData= G/TBT/N/BDI/701, G/TBT/N/KEN/1965, G/TBT/N/RWA/1331, G/TBT/N/TZA/1481, G/TBT/N/UGA/2299"," G/TBT/N/BDI/701, G/TBT/N/KEN/1965, G/TBT/N/RWA/1331, G/TBT/N/TZA/1481, G/TBT/N/UGA/2299")</f>
        <v xml:space="preserve"> G/TBT/N/BDI/701, G/TBT/N/KEN/1965, G/TBT/N/RWA/1331, G/TBT/N/TZA/1481, G/TBT/N/UGA/2299</v>
      </c>
      <c r="D1401" s="8" t="s">
        <v>5295</v>
      </c>
      <c r="E1401" s="8" t="s">
        <v>5296</v>
      </c>
      <c r="F1401" s="8" t="s">
        <v>2819</v>
      </c>
      <c r="G1401" s="8" t="s">
        <v>5297</v>
      </c>
      <c r="H1401" s="8" t="s">
        <v>431</v>
      </c>
      <c r="I1401" s="8" t="s">
        <v>2838</v>
      </c>
      <c r="J1401" s="8" t="s">
        <v>43</v>
      </c>
      <c r="K1401" s="8" t="s">
        <v>240</v>
      </c>
      <c r="L1401" s="6"/>
      <c r="M1401" s="7">
        <v>46088</v>
      </c>
      <c r="N1401" s="7" t="s">
        <v>79</v>
      </c>
      <c r="O1401" s="7" t="s">
        <v>114</v>
      </c>
      <c r="P1401" s="6" t="s">
        <v>62</v>
      </c>
      <c r="Q1401" s="8" t="s">
        <v>5298</v>
      </c>
      <c r="R1401" t="str">
        <f>HYPERLINK("https://docs.wto.org/imrd/directdoc.asp?DDFDocuments/t/G/TBTN26/BDI701.docx", "https://docs.wto.org/imrd/directdoc.asp?DDFDocuments/t/G/TBTN26/BDI701.docx")</f>
        <v>https://docs.wto.org/imrd/directdoc.asp?DDFDocuments/t/G/TBTN26/BDI701.docx</v>
      </c>
      <c r="S1401" t="str">
        <f>HYPERLINK("https://docs.wto.org/imrd/directdoc.asp?DDFDocuments/u/G/TBTN26/BDI701.docx", "https://docs.wto.org/imrd/directdoc.asp?DDFDocuments/u/G/TBTN26/BDI701.docx")</f>
        <v>https://docs.wto.org/imrd/directdoc.asp?DDFDocuments/u/G/TBTN26/BDI701.docx</v>
      </c>
      <c r="T1401" t="str">
        <f>HYPERLINK("https://docs.wto.org/imrd/directdoc.asp?DDFDocuments/v/G/TBTN26/BDI701.docx", "https://docs.wto.org/imrd/directdoc.asp?DDFDocuments/v/G/TBTN26/BDI701.docx")</f>
        <v>https://docs.wto.org/imrd/directdoc.asp?DDFDocuments/v/G/TBTN26/BDI701.docx</v>
      </c>
      <c r="U1401" t="s">
        <v>64</v>
      </c>
      <c r="V1401" t="s">
        <v>46</v>
      </c>
      <c r="W1401" t="s">
        <v>46</v>
      </c>
      <c r="X1401" t="s">
        <v>46</v>
      </c>
      <c r="Y1401" t="s">
        <v>46</v>
      </c>
      <c r="Z1401" t="s">
        <v>46</v>
      </c>
      <c r="AA1401" t="s">
        <v>46</v>
      </c>
      <c r="AB1401" s="2" t="s">
        <v>5299</v>
      </c>
      <c r="AC1401" t="s">
        <v>43</v>
      </c>
      <c r="AD1401" t="s">
        <v>43</v>
      </c>
      <c r="AE1401" t="s">
        <v>43</v>
      </c>
      <c r="AF1401" t="s">
        <v>43</v>
      </c>
      <c r="AG1401" t="s">
        <v>43</v>
      </c>
      <c r="AH1401" s="2" t="s">
        <v>43</v>
      </c>
    </row>
    <row r="1402" spans="1:34" ht="30">
      <c r="A1402" s="6" t="s">
        <v>108</v>
      </c>
      <c r="B1402" s="7">
        <v>46028</v>
      </c>
      <c r="C1402" s="9" t="str">
        <f>HYPERLINK("https://eping.wto.org/en/Search?viewData= G/TBT/N/BDI/700, G/TBT/N/KEN/1962, G/TBT/N/RWA/1330, G/TBT/N/TZA/1480, G/TBT/N/UGA/2298"," G/TBT/N/BDI/700, G/TBT/N/KEN/1962, G/TBT/N/RWA/1330, G/TBT/N/TZA/1480, G/TBT/N/UGA/2298")</f>
        <v xml:space="preserve"> G/TBT/N/BDI/700, G/TBT/N/KEN/1962, G/TBT/N/RWA/1330, G/TBT/N/TZA/1480, G/TBT/N/UGA/2298</v>
      </c>
      <c r="D1402" s="8" t="s">
        <v>5361</v>
      </c>
      <c r="E1402" s="8" t="s">
        <v>4418</v>
      </c>
      <c r="F1402" s="8" t="s">
        <v>4419</v>
      </c>
      <c r="G1402" s="8" t="s">
        <v>43</v>
      </c>
      <c r="H1402" s="8" t="s">
        <v>4420</v>
      </c>
      <c r="I1402" s="8" t="s">
        <v>2058</v>
      </c>
      <c r="J1402" s="8" t="s">
        <v>43</v>
      </c>
      <c r="K1402" s="8" t="s">
        <v>43</v>
      </c>
      <c r="L1402" s="6"/>
      <c r="M1402" s="7">
        <v>46088</v>
      </c>
      <c r="N1402" s="7">
        <v>46112</v>
      </c>
      <c r="O1402" s="7" t="s">
        <v>79</v>
      </c>
      <c r="P1402" s="6" t="s">
        <v>62</v>
      </c>
      <c r="Q1402" s="8" t="s">
        <v>5362</v>
      </c>
      <c r="R1402" t="str">
        <f>HYPERLINK("https://docs.wto.org/imrd/directdoc.asp?DDFDocuments/t/G/TBTN26/BDI700.docx", "https://docs.wto.org/imrd/directdoc.asp?DDFDocuments/t/G/TBTN26/BDI700.docx")</f>
        <v>https://docs.wto.org/imrd/directdoc.asp?DDFDocuments/t/G/TBTN26/BDI700.docx</v>
      </c>
      <c r="S1402" t="str">
        <f>HYPERLINK("https://docs.wto.org/imrd/directdoc.asp?DDFDocuments/u/G/TBTN26/BDI700.docx", "https://docs.wto.org/imrd/directdoc.asp?DDFDocuments/u/G/TBTN26/BDI700.docx")</f>
        <v>https://docs.wto.org/imrd/directdoc.asp?DDFDocuments/u/G/TBTN26/BDI700.docx</v>
      </c>
      <c r="T1402" t="str">
        <f>HYPERLINK("https://docs.wto.org/imrd/directdoc.asp?DDFDocuments/v/G/TBTN26/BDI700.docx", "https://docs.wto.org/imrd/directdoc.asp?DDFDocuments/v/G/TBTN26/BDI700.docx")</f>
        <v>https://docs.wto.org/imrd/directdoc.asp?DDFDocuments/v/G/TBTN26/BDI700.docx</v>
      </c>
      <c r="U1402" t="s">
        <v>64</v>
      </c>
      <c r="V1402" t="s">
        <v>46</v>
      </c>
      <c r="W1402" t="s">
        <v>46</v>
      </c>
      <c r="X1402" t="s">
        <v>46</v>
      </c>
      <c r="Y1402" t="s">
        <v>46</v>
      </c>
      <c r="Z1402" t="s">
        <v>46</v>
      </c>
      <c r="AA1402" t="s">
        <v>46</v>
      </c>
      <c r="AB1402" s="2" t="s">
        <v>4422</v>
      </c>
      <c r="AC1402" t="s">
        <v>43</v>
      </c>
      <c r="AD1402" t="s">
        <v>43</v>
      </c>
      <c r="AE1402" t="s">
        <v>43</v>
      </c>
      <c r="AF1402" t="s">
        <v>43</v>
      </c>
      <c r="AG1402" t="s">
        <v>43</v>
      </c>
      <c r="AH1402" s="2" t="s">
        <v>43</v>
      </c>
    </row>
    <row r="1403" spans="1:34" ht="60">
      <c r="A1403" s="6" t="s">
        <v>325</v>
      </c>
      <c r="B1403" s="7">
        <v>46028</v>
      </c>
      <c r="C1403" s="9" t="str">
        <f>HYPERLINK("https://eping.wto.org/en/Search?viewData= G/TBT/N/TPKM/572/Add.1"," G/TBT/N/TPKM/572/Add.1")</f>
        <v xml:space="preserve"> G/TBT/N/TPKM/572/Add.1</v>
      </c>
      <c r="D1403" s="8" t="s">
        <v>5410</v>
      </c>
      <c r="E1403" s="8" t="s">
        <v>5411</v>
      </c>
      <c r="F1403" s="8" t="s">
        <v>5412</v>
      </c>
      <c r="G1403" s="8" t="s">
        <v>5413</v>
      </c>
      <c r="H1403" s="8" t="s">
        <v>1659</v>
      </c>
      <c r="I1403" s="8" t="s">
        <v>5414</v>
      </c>
      <c r="J1403" s="8" t="s">
        <v>43</v>
      </c>
      <c r="K1403" s="8" t="s">
        <v>43</v>
      </c>
      <c r="L1403" s="6"/>
      <c r="M1403" s="7" t="s">
        <v>43</v>
      </c>
      <c r="N1403" s="7"/>
      <c r="O1403" s="7"/>
      <c r="P1403" s="6" t="s">
        <v>44</v>
      </c>
      <c r="Q1403" s="8" t="s">
        <v>5415</v>
      </c>
      <c r="R1403" t="str">
        <f>HYPERLINK("https://docs.wto.org/imrd/directdoc.asp?DDFDocuments/t/G/TBTN25/TPKM572A1.docx", "https://docs.wto.org/imrd/directdoc.asp?DDFDocuments/t/G/TBTN25/TPKM572A1.docx")</f>
        <v>https://docs.wto.org/imrd/directdoc.asp?DDFDocuments/t/G/TBTN25/TPKM572A1.docx</v>
      </c>
      <c r="S1403" t="str">
        <f>HYPERLINK("https://docs.wto.org/imrd/directdoc.asp?DDFDocuments/u/G/TBTN25/TPKM572A1.docx", "https://docs.wto.org/imrd/directdoc.asp?DDFDocuments/u/G/TBTN25/TPKM572A1.docx")</f>
        <v>https://docs.wto.org/imrd/directdoc.asp?DDFDocuments/u/G/TBTN25/TPKM572A1.docx</v>
      </c>
      <c r="T1403" t="str">
        <f>HYPERLINK("https://docs.wto.org/imrd/directdoc.asp?DDFDocuments/v/G/TBTN25/TPKM572A1.docx", "https://docs.wto.org/imrd/directdoc.asp?DDFDocuments/v/G/TBTN25/TPKM572A1.docx")</f>
        <v>https://docs.wto.org/imrd/directdoc.asp?DDFDocuments/v/G/TBTN25/TPKM572A1.docx</v>
      </c>
      <c r="U1403" t="s">
        <v>46</v>
      </c>
      <c r="V1403" t="s">
        <v>46</v>
      </c>
      <c r="W1403" t="s">
        <v>46</v>
      </c>
      <c r="X1403" t="s">
        <v>46</v>
      </c>
      <c r="Y1403" t="s">
        <v>46</v>
      </c>
      <c r="Z1403" t="s">
        <v>46</v>
      </c>
      <c r="AA1403" t="s">
        <v>46</v>
      </c>
      <c r="AB1403" s="2" t="s">
        <v>43</v>
      </c>
      <c r="AC1403" t="s">
        <v>43</v>
      </c>
      <c r="AD1403" t="s">
        <v>43</v>
      </c>
      <c r="AE1403" t="s">
        <v>43</v>
      </c>
      <c r="AF1403" t="s">
        <v>43</v>
      </c>
      <c r="AG1403" t="s">
        <v>43</v>
      </c>
      <c r="AH1403" s="2" t="s">
        <v>43</v>
      </c>
    </row>
    <row r="1404" spans="1:34" ht="270">
      <c r="A1404" s="6" t="s">
        <v>5416</v>
      </c>
      <c r="B1404" s="7">
        <v>46028</v>
      </c>
      <c r="C1404" s="9" t="str">
        <f>HYPERLINK("https://eping.wto.org/en/Search?viewData= G/TBT/N/DEU/20"," G/TBT/N/DEU/20")</f>
        <v xml:space="preserve"> G/TBT/N/DEU/20</v>
      </c>
      <c r="D1404" s="8" t="s">
        <v>5417</v>
      </c>
      <c r="E1404" s="8" t="s">
        <v>5418</v>
      </c>
      <c r="F1404" s="8" t="s">
        <v>5419</v>
      </c>
      <c r="G1404" s="8" t="s">
        <v>5420</v>
      </c>
      <c r="H1404" s="8" t="s">
        <v>43</v>
      </c>
      <c r="I1404" s="8" t="s">
        <v>420</v>
      </c>
      <c r="J1404" s="8" t="s">
        <v>5421</v>
      </c>
      <c r="K1404" s="8" t="s">
        <v>43</v>
      </c>
      <c r="L1404" s="6"/>
      <c r="M1404" s="7">
        <v>46088</v>
      </c>
      <c r="N1404" s="7" t="s">
        <v>5422</v>
      </c>
      <c r="O1404" s="7" t="s">
        <v>5423</v>
      </c>
      <c r="P1404" s="6" t="s">
        <v>62</v>
      </c>
      <c r="Q1404" s="8" t="s">
        <v>5424</v>
      </c>
      <c r="R1404" t="str">
        <f>HYPERLINK("https://docs.wto.org/imrd/directdoc.asp?DDFDocuments/t/G/TBTN26/DEU20.docx", "https://docs.wto.org/imrd/directdoc.asp?DDFDocuments/t/G/TBTN26/DEU20.docx")</f>
        <v>https://docs.wto.org/imrd/directdoc.asp?DDFDocuments/t/G/TBTN26/DEU20.docx</v>
      </c>
      <c r="S1404" t="str">
        <f>HYPERLINK("https://docs.wto.org/imrd/directdoc.asp?DDFDocuments/u/G/TBTN26/DEU20.docx", "https://docs.wto.org/imrd/directdoc.asp?DDFDocuments/u/G/TBTN26/DEU20.docx")</f>
        <v>https://docs.wto.org/imrd/directdoc.asp?DDFDocuments/u/G/TBTN26/DEU20.docx</v>
      </c>
      <c r="T1404" t="str">
        <f>HYPERLINK("https://docs.wto.org/imrd/directdoc.asp?DDFDocuments/v/G/TBTN26/DEU20.docx", "https://docs.wto.org/imrd/directdoc.asp?DDFDocuments/v/G/TBTN26/DEU20.docx")</f>
        <v>https://docs.wto.org/imrd/directdoc.asp?DDFDocuments/v/G/TBTN26/DEU20.docx</v>
      </c>
      <c r="U1404" t="s">
        <v>64</v>
      </c>
      <c r="V1404" t="s">
        <v>46</v>
      </c>
      <c r="W1404" t="s">
        <v>46</v>
      </c>
      <c r="X1404" t="s">
        <v>46</v>
      </c>
      <c r="Y1404" t="s">
        <v>46</v>
      </c>
      <c r="Z1404" t="s">
        <v>46</v>
      </c>
      <c r="AA1404" t="s">
        <v>46</v>
      </c>
      <c r="AB1404" s="2" t="s">
        <v>5425</v>
      </c>
      <c r="AC1404" t="s">
        <v>43</v>
      </c>
      <c r="AD1404" t="s">
        <v>43</v>
      </c>
      <c r="AE1404" t="s">
        <v>43</v>
      </c>
      <c r="AF1404" t="s">
        <v>43</v>
      </c>
      <c r="AG1404" t="s">
        <v>43</v>
      </c>
      <c r="AH1404" s="2" t="s">
        <v>43</v>
      </c>
    </row>
    <row r="1405" spans="1:34" ht="60">
      <c r="A1405" s="6" t="s">
        <v>82</v>
      </c>
      <c r="B1405" s="7">
        <v>46028</v>
      </c>
      <c r="C1405" s="9" t="str">
        <f>HYPERLINK("https://eping.wto.org/en/Search?viewData= G/TBT/N/JPN/894"," G/TBT/N/JPN/894")</f>
        <v xml:space="preserve"> G/TBT/N/JPN/894</v>
      </c>
      <c r="D1405" s="8" t="s">
        <v>5329</v>
      </c>
      <c r="E1405" s="8" t="s">
        <v>5426</v>
      </c>
      <c r="F1405" s="8" t="s">
        <v>5427</v>
      </c>
      <c r="G1405" s="8" t="s">
        <v>43</v>
      </c>
      <c r="H1405" s="8" t="s">
        <v>5332</v>
      </c>
      <c r="I1405" s="8" t="s">
        <v>52</v>
      </c>
      <c r="J1405" s="8" t="s">
        <v>5428</v>
      </c>
      <c r="K1405" s="8" t="s">
        <v>43</v>
      </c>
      <c r="L1405" s="6"/>
      <c r="M1405" s="7">
        <v>46088</v>
      </c>
      <c r="N1405" s="7" t="s">
        <v>5334</v>
      </c>
      <c r="O1405" s="7" t="s">
        <v>5334</v>
      </c>
      <c r="P1405" s="6" t="s">
        <v>62</v>
      </c>
      <c r="Q1405" s="8" t="s">
        <v>5429</v>
      </c>
      <c r="R1405" t="str">
        <f>HYPERLINK("https://docs.wto.org/imrd/directdoc.asp?DDFDocuments/t/G/TBTN26/JPN894.docx", "https://docs.wto.org/imrd/directdoc.asp?DDFDocuments/t/G/TBTN26/JPN894.docx")</f>
        <v>https://docs.wto.org/imrd/directdoc.asp?DDFDocuments/t/G/TBTN26/JPN894.docx</v>
      </c>
      <c r="S1405" t="str">
        <f>HYPERLINK("https://docs.wto.org/imrd/directdoc.asp?DDFDocuments/u/G/TBTN26/JPN894.docx", "https://docs.wto.org/imrd/directdoc.asp?DDFDocuments/u/G/TBTN26/JPN894.docx")</f>
        <v>https://docs.wto.org/imrd/directdoc.asp?DDFDocuments/u/G/TBTN26/JPN894.docx</v>
      </c>
      <c r="T1405" t="str">
        <f>HYPERLINK("https://docs.wto.org/imrd/directdoc.asp?DDFDocuments/v/G/TBTN26/JPN894.docx", "https://docs.wto.org/imrd/directdoc.asp?DDFDocuments/v/G/TBTN26/JPN894.docx")</f>
        <v>https://docs.wto.org/imrd/directdoc.asp?DDFDocuments/v/G/TBTN26/JPN894.docx</v>
      </c>
      <c r="U1405" t="s">
        <v>64</v>
      </c>
      <c r="V1405" t="s">
        <v>46</v>
      </c>
      <c r="W1405" t="s">
        <v>46</v>
      </c>
      <c r="X1405" t="s">
        <v>46</v>
      </c>
      <c r="Y1405" t="s">
        <v>46</v>
      </c>
      <c r="Z1405" t="s">
        <v>46</v>
      </c>
      <c r="AA1405" t="s">
        <v>46</v>
      </c>
      <c r="AB1405" s="2" t="s">
        <v>5336</v>
      </c>
      <c r="AC1405" t="s">
        <v>43</v>
      </c>
      <c r="AD1405" t="s">
        <v>43</v>
      </c>
      <c r="AE1405" t="s">
        <v>43</v>
      </c>
      <c r="AF1405" t="s">
        <v>43</v>
      </c>
      <c r="AG1405" t="s">
        <v>43</v>
      </c>
      <c r="AH1405" s="2" t="s">
        <v>43</v>
      </c>
    </row>
    <row r="1406" spans="1:34" ht="150">
      <c r="A1406" s="6" t="s">
        <v>209</v>
      </c>
      <c r="B1406" s="7">
        <v>46028</v>
      </c>
      <c r="C1406" s="9" t="str">
        <f>HYPERLINK("https://eping.wto.org/en/Search?viewData= G/SPS/N/RUS/346"," G/SPS/N/RUS/346")</f>
        <v xml:space="preserve"> G/SPS/N/RUS/346</v>
      </c>
      <c r="D1406" s="8" t="s">
        <v>2685</v>
      </c>
      <c r="E1406" s="8" t="s">
        <v>2686</v>
      </c>
      <c r="F1406" s="8" t="s">
        <v>5430</v>
      </c>
      <c r="G1406" s="8" t="s">
        <v>5431</v>
      </c>
      <c r="H1406" s="8" t="s">
        <v>43</v>
      </c>
      <c r="I1406" s="8" t="s">
        <v>254</v>
      </c>
      <c r="J1406" s="8" t="s">
        <v>43</v>
      </c>
      <c r="K1406" s="8" t="s">
        <v>512</v>
      </c>
      <c r="L1406" s="6" t="s">
        <v>43</v>
      </c>
      <c r="M1406" s="7">
        <v>46080</v>
      </c>
      <c r="N1406" s="7" t="s">
        <v>304</v>
      </c>
      <c r="O1406" s="7" t="s">
        <v>304</v>
      </c>
      <c r="P1406" s="6" t="s">
        <v>62</v>
      </c>
      <c r="Q1406" s="8" t="s">
        <v>5432</v>
      </c>
      <c r="R1406" t="str">
        <f>HYPERLINK("https://docs.wto.org/imrd/directdoc.asp?DDFDocuments/t/G/SPS/NRUS346.docx", "https://docs.wto.org/imrd/directdoc.asp?DDFDocuments/t/G/SPS/NRUS346.docx")</f>
        <v>https://docs.wto.org/imrd/directdoc.asp?DDFDocuments/t/G/SPS/NRUS346.docx</v>
      </c>
      <c r="S1406" t="str">
        <f>HYPERLINK("https://docs.wto.org/imrd/directdoc.asp?DDFDocuments/u/G/SPS/NRUS346.docx", "https://docs.wto.org/imrd/directdoc.asp?DDFDocuments/u/G/SPS/NRUS346.docx")</f>
        <v>https://docs.wto.org/imrd/directdoc.asp?DDFDocuments/u/G/SPS/NRUS346.docx</v>
      </c>
      <c r="T1406" t="str">
        <f>HYPERLINK("https://docs.wto.org/imrd/directdoc.asp?DDFDocuments/v/G/SPS/NRUS346.docx", "https://docs.wto.org/imrd/directdoc.asp?DDFDocuments/v/G/SPS/NRUS346.docx")</f>
        <v>https://docs.wto.org/imrd/directdoc.asp?DDFDocuments/v/G/SPS/NRUS346.docx</v>
      </c>
      <c r="U1406" t="s">
        <v>43</v>
      </c>
      <c r="V1406" t="s">
        <v>43</v>
      </c>
      <c r="W1406" t="s">
        <v>43</v>
      </c>
      <c r="X1406" t="s">
        <v>43</v>
      </c>
      <c r="Y1406" t="s">
        <v>43</v>
      </c>
      <c r="Z1406" t="s">
        <v>43</v>
      </c>
      <c r="AA1406" t="s">
        <v>43</v>
      </c>
      <c r="AB1406" s="2" t="s">
        <v>43</v>
      </c>
      <c r="AC1406" t="s">
        <v>46</v>
      </c>
      <c r="AD1406" t="s">
        <v>46</v>
      </c>
      <c r="AE1406" t="s">
        <v>64</v>
      </c>
      <c r="AF1406" t="s">
        <v>46</v>
      </c>
      <c r="AG1406" t="s">
        <v>64</v>
      </c>
      <c r="AH1406" s="2" t="s">
        <v>43</v>
      </c>
    </row>
    <row r="1407" spans="1:34" ht="409.5">
      <c r="A1407" s="6" t="s">
        <v>108</v>
      </c>
      <c r="B1407" s="7">
        <v>46028</v>
      </c>
      <c r="C1407" s="9" t="str">
        <f>HYPERLINK("https://eping.wto.org/en/Search?viewData= G/TBT/N/BDI/701, G/TBT/N/KEN/1965, G/TBT/N/RWA/1331, G/TBT/N/TZA/1481, G/TBT/N/UGA/2299"," G/TBT/N/BDI/701, G/TBT/N/KEN/1965, G/TBT/N/RWA/1331, G/TBT/N/TZA/1481, G/TBT/N/UGA/2299")</f>
        <v xml:space="preserve"> G/TBT/N/BDI/701, G/TBT/N/KEN/1965, G/TBT/N/RWA/1331, G/TBT/N/TZA/1481, G/TBT/N/UGA/2299</v>
      </c>
      <c r="D1407" s="8" t="s">
        <v>5295</v>
      </c>
      <c r="E1407" s="8" t="s">
        <v>5296</v>
      </c>
      <c r="F1407" s="8" t="s">
        <v>2819</v>
      </c>
      <c r="G1407" s="8" t="s">
        <v>5297</v>
      </c>
      <c r="H1407" s="8" t="s">
        <v>431</v>
      </c>
      <c r="I1407" s="8" t="s">
        <v>2838</v>
      </c>
      <c r="J1407" s="8" t="s">
        <v>43</v>
      </c>
      <c r="K1407" s="8" t="s">
        <v>240</v>
      </c>
      <c r="L1407" s="6"/>
      <c r="M1407" s="7">
        <v>46088</v>
      </c>
      <c r="N1407" s="7" t="s">
        <v>79</v>
      </c>
      <c r="O1407" s="7" t="s">
        <v>114</v>
      </c>
      <c r="P1407" s="6" t="s">
        <v>62</v>
      </c>
      <c r="Q1407" s="8" t="s">
        <v>5298</v>
      </c>
      <c r="R1407" t="str">
        <f>HYPERLINK("https://docs.wto.org/imrd/directdoc.asp?DDFDocuments/t/G/TBTN26/BDI701.docx", "https://docs.wto.org/imrd/directdoc.asp?DDFDocuments/t/G/TBTN26/BDI701.docx")</f>
        <v>https://docs.wto.org/imrd/directdoc.asp?DDFDocuments/t/G/TBTN26/BDI701.docx</v>
      </c>
      <c r="S1407" t="str">
        <f>HYPERLINK("https://docs.wto.org/imrd/directdoc.asp?DDFDocuments/u/G/TBTN26/BDI701.docx", "https://docs.wto.org/imrd/directdoc.asp?DDFDocuments/u/G/TBTN26/BDI701.docx")</f>
        <v>https://docs.wto.org/imrd/directdoc.asp?DDFDocuments/u/G/TBTN26/BDI701.docx</v>
      </c>
      <c r="T1407" t="str">
        <f>HYPERLINK("https://docs.wto.org/imrd/directdoc.asp?DDFDocuments/v/G/TBTN26/BDI701.docx", "https://docs.wto.org/imrd/directdoc.asp?DDFDocuments/v/G/TBTN26/BDI701.docx")</f>
        <v>https://docs.wto.org/imrd/directdoc.asp?DDFDocuments/v/G/TBTN26/BDI701.docx</v>
      </c>
      <c r="U1407" t="s">
        <v>64</v>
      </c>
      <c r="V1407" t="s">
        <v>46</v>
      </c>
      <c r="W1407" t="s">
        <v>46</v>
      </c>
      <c r="X1407" t="s">
        <v>46</v>
      </c>
      <c r="Y1407" t="s">
        <v>46</v>
      </c>
      <c r="Z1407" t="s">
        <v>46</v>
      </c>
      <c r="AA1407" t="s">
        <v>46</v>
      </c>
      <c r="AB1407" s="2" t="s">
        <v>5299</v>
      </c>
      <c r="AC1407" t="s">
        <v>43</v>
      </c>
      <c r="AD1407" t="s">
        <v>43</v>
      </c>
      <c r="AE1407" t="s">
        <v>43</v>
      </c>
      <c r="AF1407" t="s">
        <v>43</v>
      </c>
      <c r="AG1407" t="s">
        <v>43</v>
      </c>
      <c r="AH1407" s="2" t="s">
        <v>43</v>
      </c>
    </row>
    <row r="1408" spans="1:34" ht="30">
      <c r="A1408" s="6" t="s">
        <v>390</v>
      </c>
      <c r="B1408" s="7">
        <v>46028</v>
      </c>
      <c r="C1408" s="9" t="str">
        <f>HYPERLINK("https://eping.wto.org/en/Search?viewData= G/TBT/N/BDI/700, G/TBT/N/KEN/1962, G/TBT/N/RWA/1330, G/TBT/N/TZA/1480, G/TBT/N/UGA/2298"," G/TBT/N/BDI/700, G/TBT/N/KEN/1962, G/TBT/N/RWA/1330, G/TBT/N/TZA/1480, G/TBT/N/UGA/2298")</f>
        <v xml:space="preserve"> G/TBT/N/BDI/700, G/TBT/N/KEN/1962, G/TBT/N/RWA/1330, G/TBT/N/TZA/1480, G/TBT/N/UGA/2298</v>
      </c>
      <c r="D1408" s="8" t="s">
        <v>5361</v>
      </c>
      <c r="E1408" s="8" t="s">
        <v>4418</v>
      </c>
      <c r="F1408" s="8" t="s">
        <v>4419</v>
      </c>
      <c r="G1408" s="8" t="s">
        <v>43</v>
      </c>
      <c r="H1408" s="8" t="s">
        <v>4420</v>
      </c>
      <c r="I1408" s="8" t="s">
        <v>2058</v>
      </c>
      <c r="J1408" s="8" t="s">
        <v>43</v>
      </c>
      <c r="K1408" s="8" t="s">
        <v>43</v>
      </c>
      <c r="L1408" s="6"/>
      <c r="M1408" s="7">
        <v>46088</v>
      </c>
      <c r="N1408" s="7">
        <v>46112</v>
      </c>
      <c r="O1408" s="7" t="s">
        <v>79</v>
      </c>
      <c r="P1408" s="6" t="s">
        <v>62</v>
      </c>
      <c r="Q1408" s="8" t="s">
        <v>5362</v>
      </c>
      <c r="R1408" t="str">
        <f>HYPERLINK("https://docs.wto.org/imrd/directdoc.asp?DDFDocuments/t/G/TBTN26/BDI700.docx", "https://docs.wto.org/imrd/directdoc.asp?DDFDocuments/t/G/TBTN26/BDI700.docx")</f>
        <v>https://docs.wto.org/imrd/directdoc.asp?DDFDocuments/t/G/TBTN26/BDI700.docx</v>
      </c>
      <c r="S1408" t="str">
        <f>HYPERLINK("https://docs.wto.org/imrd/directdoc.asp?DDFDocuments/u/G/TBTN26/BDI700.docx", "https://docs.wto.org/imrd/directdoc.asp?DDFDocuments/u/G/TBTN26/BDI700.docx")</f>
        <v>https://docs.wto.org/imrd/directdoc.asp?DDFDocuments/u/G/TBTN26/BDI700.docx</v>
      </c>
      <c r="T1408" t="str">
        <f>HYPERLINK("https://docs.wto.org/imrd/directdoc.asp?DDFDocuments/v/G/TBTN26/BDI700.docx", "https://docs.wto.org/imrd/directdoc.asp?DDFDocuments/v/G/TBTN26/BDI700.docx")</f>
        <v>https://docs.wto.org/imrd/directdoc.asp?DDFDocuments/v/G/TBTN26/BDI700.docx</v>
      </c>
      <c r="U1408" t="s">
        <v>64</v>
      </c>
      <c r="V1408" t="s">
        <v>46</v>
      </c>
      <c r="W1408" t="s">
        <v>46</v>
      </c>
      <c r="X1408" t="s">
        <v>46</v>
      </c>
      <c r="Y1408" t="s">
        <v>46</v>
      </c>
      <c r="Z1408" t="s">
        <v>46</v>
      </c>
      <c r="AA1408" t="s">
        <v>46</v>
      </c>
      <c r="AB1408" s="2" t="s">
        <v>4422</v>
      </c>
      <c r="AC1408" t="s">
        <v>43</v>
      </c>
      <c r="AD1408" t="s">
        <v>43</v>
      </c>
      <c r="AE1408" t="s">
        <v>43</v>
      </c>
      <c r="AF1408" t="s">
        <v>43</v>
      </c>
      <c r="AG1408" t="s">
        <v>43</v>
      </c>
      <c r="AH1408" s="2" t="s">
        <v>43</v>
      </c>
    </row>
    <row r="1409" spans="1:34" ht="60">
      <c r="A1409" s="6" t="s">
        <v>325</v>
      </c>
      <c r="B1409" s="7">
        <v>46028</v>
      </c>
      <c r="C1409" s="9" t="str">
        <f>HYPERLINK("https://eping.wto.org/en/Search?viewData= G/TBT/N/TPKM/566/Add.1"," G/TBT/N/TPKM/566/Add.1")</f>
        <v xml:space="preserve"> G/TBT/N/TPKM/566/Add.1</v>
      </c>
      <c r="D1409" s="8" t="s">
        <v>5433</v>
      </c>
      <c r="E1409" s="8" t="s">
        <v>5434</v>
      </c>
      <c r="F1409" s="8" t="s">
        <v>5412</v>
      </c>
      <c r="G1409" s="8" t="s">
        <v>5413</v>
      </c>
      <c r="H1409" s="8" t="s">
        <v>43</v>
      </c>
      <c r="I1409" s="8" t="s">
        <v>137</v>
      </c>
      <c r="J1409" s="8" t="s">
        <v>43</v>
      </c>
      <c r="K1409" s="8" t="s">
        <v>43</v>
      </c>
      <c r="L1409" s="6"/>
      <c r="M1409" s="7" t="s">
        <v>43</v>
      </c>
      <c r="N1409" s="7"/>
      <c r="O1409" s="7"/>
      <c r="P1409" s="6" t="s">
        <v>44</v>
      </c>
      <c r="Q1409" s="8" t="s">
        <v>5435</v>
      </c>
      <c r="R1409" t="str">
        <f>HYPERLINK("https://docs.wto.org/imrd/directdoc.asp?DDFDocuments/t/G/TBTN25/TPKM566A1.docx", "https://docs.wto.org/imrd/directdoc.asp?DDFDocuments/t/G/TBTN25/TPKM566A1.docx")</f>
        <v>https://docs.wto.org/imrd/directdoc.asp?DDFDocuments/t/G/TBTN25/TPKM566A1.docx</v>
      </c>
      <c r="S1409" t="str">
        <f>HYPERLINK("https://docs.wto.org/imrd/directdoc.asp?DDFDocuments/u/G/TBTN25/TPKM566A1.docx", "https://docs.wto.org/imrd/directdoc.asp?DDFDocuments/u/G/TBTN25/TPKM566A1.docx")</f>
        <v>https://docs.wto.org/imrd/directdoc.asp?DDFDocuments/u/G/TBTN25/TPKM566A1.docx</v>
      </c>
      <c r="T1409" t="str">
        <f>HYPERLINK("https://docs.wto.org/imrd/directdoc.asp?DDFDocuments/v/G/TBTN25/TPKM566A1.docx", "https://docs.wto.org/imrd/directdoc.asp?DDFDocuments/v/G/TBTN25/TPKM566A1.docx")</f>
        <v>https://docs.wto.org/imrd/directdoc.asp?DDFDocuments/v/G/TBTN25/TPKM566A1.docx</v>
      </c>
      <c r="U1409" t="s">
        <v>46</v>
      </c>
      <c r="V1409" t="s">
        <v>46</v>
      </c>
      <c r="W1409" t="s">
        <v>46</v>
      </c>
      <c r="X1409" t="s">
        <v>46</v>
      </c>
      <c r="Y1409" t="s">
        <v>46</v>
      </c>
      <c r="Z1409" t="s">
        <v>46</v>
      </c>
      <c r="AA1409" t="s">
        <v>46</v>
      </c>
      <c r="AB1409" s="2" t="s">
        <v>43</v>
      </c>
      <c r="AC1409" t="s">
        <v>43</v>
      </c>
      <c r="AD1409" t="s">
        <v>43</v>
      </c>
      <c r="AE1409" t="s">
        <v>43</v>
      </c>
      <c r="AF1409" t="s">
        <v>43</v>
      </c>
      <c r="AG1409" t="s">
        <v>43</v>
      </c>
      <c r="AH1409" s="2" t="s">
        <v>43</v>
      </c>
    </row>
    <row r="1410" spans="1:34" ht="195">
      <c r="A1410" s="6" t="s">
        <v>1917</v>
      </c>
      <c r="B1410" s="7">
        <v>46028</v>
      </c>
      <c r="C1410" s="9" t="str">
        <f>HYPERLINK("https://eping.wto.org/en/Search?viewData= G/TBT/N/EGY/1/Add.34"," G/TBT/N/EGY/1/Add.34")</f>
        <v xml:space="preserve"> G/TBT/N/EGY/1/Add.34</v>
      </c>
      <c r="D1410" s="8" t="s">
        <v>5436</v>
      </c>
      <c r="E1410" s="8" t="s">
        <v>5437</v>
      </c>
      <c r="F1410" s="8" t="s">
        <v>1370</v>
      </c>
      <c r="G1410" s="8" t="s">
        <v>5438</v>
      </c>
      <c r="H1410" s="8" t="s">
        <v>507</v>
      </c>
      <c r="I1410" s="8" t="s">
        <v>43</v>
      </c>
      <c r="J1410" s="8"/>
      <c r="K1410" s="8" t="s">
        <v>1029</v>
      </c>
      <c r="L1410" s="6"/>
      <c r="M1410" s="7" t="s">
        <v>43</v>
      </c>
      <c r="N1410" s="7"/>
      <c r="O1410" s="7"/>
      <c r="P1410" s="6" t="s">
        <v>44</v>
      </c>
      <c r="Q1410" s="6"/>
      <c r="R1410" t="str">
        <f>HYPERLINK("https://docs.wto.org/imrd/directdoc.asp?DDFDocuments/t/G/TBTN05/EGY1A34.docx", "https://docs.wto.org/imrd/directdoc.asp?DDFDocuments/t/G/TBTN05/EGY1A34.docx")</f>
        <v>https://docs.wto.org/imrd/directdoc.asp?DDFDocuments/t/G/TBTN05/EGY1A34.docx</v>
      </c>
      <c r="S1410" t="str">
        <f>HYPERLINK("https://docs.wto.org/imrd/directdoc.asp?DDFDocuments/u/G/TBTN05/EGY1A34.docx", "https://docs.wto.org/imrd/directdoc.asp?DDFDocuments/u/G/TBTN05/EGY1A34.docx")</f>
        <v>https://docs.wto.org/imrd/directdoc.asp?DDFDocuments/u/G/TBTN05/EGY1A34.docx</v>
      </c>
      <c r="T1410" t="str">
        <f>HYPERLINK("https://docs.wto.org/imrd/directdoc.asp?DDFDocuments/v/G/TBTN05/EGY1A34.docx", "https://docs.wto.org/imrd/directdoc.asp?DDFDocuments/v/G/TBTN05/EGY1A34.docx")</f>
        <v>https://docs.wto.org/imrd/directdoc.asp?DDFDocuments/v/G/TBTN05/EGY1A34.docx</v>
      </c>
      <c r="U1410" t="s">
        <v>64</v>
      </c>
      <c r="V1410" t="s">
        <v>46</v>
      </c>
      <c r="W1410" t="s">
        <v>46</v>
      </c>
      <c r="X1410" t="s">
        <v>46</v>
      </c>
      <c r="Y1410" t="s">
        <v>46</v>
      </c>
      <c r="Z1410" t="s">
        <v>46</v>
      </c>
      <c r="AA1410" t="s">
        <v>46</v>
      </c>
      <c r="AB1410" s="2" t="s">
        <v>43</v>
      </c>
      <c r="AC1410" t="s">
        <v>43</v>
      </c>
      <c r="AD1410" t="s">
        <v>43</v>
      </c>
      <c r="AE1410" t="s">
        <v>43</v>
      </c>
      <c r="AF1410" t="s">
        <v>43</v>
      </c>
      <c r="AG1410" t="s">
        <v>43</v>
      </c>
      <c r="AH1410" s="2" t="s">
        <v>43</v>
      </c>
    </row>
    <row r="1411" spans="1:34" ht="30">
      <c r="A1411" s="6" t="s">
        <v>577</v>
      </c>
      <c r="B1411" s="7">
        <v>46028</v>
      </c>
      <c r="C1411" s="9" t="str">
        <f>HYPERLINK("https://eping.wto.org/en/Search?viewData= G/TBT/N/BDI/700, G/TBT/N/KEN/1962, G/TBT/N/RWA/1330, G/TBT/N/TZA/1480, G/TBT/N/UGA/2298"," G/TBT/N/BDI/700, G/TBT/N/KEN/1962, G/TBT/N/RWA/1330, G/TBT/N/TZA/1480, G/TBT/N/UGA/2298")</f>
        <v xml:space="preserve"> G/TBT/N/BDI/700, G/TBT/N/KEN/1962, G/TBT/N/RWA/1330, G/TBT/N/TZA/1480, G/TBT/N/UGA/2298</v>
      </c>
      <c r="D1411" s="8" t="s">
        <v>5361</v>
      </c>
      <c r="E1411" s="8" t="s">
        <v>4418</v>
      </c>
      <c r="F1411" s="8" t="s">
        <v>4419</v>
      </c>
      <c r="G1411" s="8" t="s">
        <v>43</v>
      </c>
      <c r="H1411" s="8" t="s">
        <v>4420</v>
      </c>
      <c r="I1411" s="8" t="s">
        <v>2058</v>
      </c>
      <c r="J1411" s="8" t="s">
        <v>43</v>
      </c>
      <c r="K1411" s="8" t="s">
        <v>43</v>
      </c>
      <c r="L1411" s="6"/>
      <c r="M1411" s="7">
        <v>46088</v>
      </c>
      <c r="N1411" s="7">
        <v>46112</v>
      </c>
      <c r="O1411" s="7" t="s">
        <v>79</v>
      </c>
      <c r="P1411" s="6" t="s">
        <v>62</v>
      </c>
      <c r="Q1411" s="8" t="s">
        <v>5362</v>
      </c>
      <c r="R1411" t="str">
        <f>HYPERLINK("https://docs.wto.org/imrd/directdoc.asp?DDFDocuments/t/G/TBTN26/BDI700.docx", "https://docs.wto.org/imrd/directdoc.asp?DDFDocuments/t/G/TBTN26/BDI700.docx")</f>
        <v>https://docs.wto.org/imrd/directdoc.asp?DDFDocuments/t/G/TBTN26/BDI700.docx</v>
      </c>
      <c r="S1411" t="str">
        <f>HYPERLINK("https://docs.wto.org/imrd/directdoc.asp?DDFDocuments/u/G/TBTN26/BDI700.docx", "https://docs.wto.org/imrd/directdoc.asp?DDFDocuments/u/G/TBTN26/BDI700.docx")</f>
        <v>https://docs.wto.org/imrd/directdoc.asp?DDFDocuments/u/G/TBTN26/BDI700.docx</v>
      </c>
      <c r="T1411" t="str">
        <f>HYPERLINK("https://docs.wto.org/imrd/directdoc.asp?DDFDocuments/v/G/TBTN26/BDI700.docx", "https://docs.wto.org/imrd/directdoc.asp?DDFDocuments/v/G/TBTN26/BDI700.docx")</f>
        <v>https://docs.wto.org/imrd/directdoc.asp?DDFDocuments/v/G/TBTN26/BDI700.docx</v>
      </c>
      <c r="U1411" t="s">
        <v>64</v>
      </c>
      <c r="V1411" t="s">
        <v>46</v>
      </c>
      <c r="W1411" t="s">
        <v>46</v>
      </c>
      <c r="X1411" t="s">
        <v>46</v>
      </c>
      <c r="Y1411" t="s">
        <v>46</v>
      </c>
      <c r="Z1411" t="s">
        <v>46</v>
      </c>
      <c r="AA1411" t="s">
        <v>46</v>
      </c>
      <c r="AB1411" s="2" t="s">
        <v>4422</v>
      </c>
      <c r="AC1411" t="s">
        <v>43</v>
      </c>
      <c r="AD1411" t="s">
        <v>43</v>
      </c>
      <c r="AE1411" t="s">
        <v>43</v>
      </c>
      <c r="AF1411" t="s">
        <v>43</v>
      </c>
      <c r="AG1411" t="s">
        <v>43</v>
      </c>
      <c r="AH1411" s="2" t="s">
        <v>43</v>
      </c>
    </row>
    <row r="1412" spans="1:34" ht="240">
      <c r="A1412" s="6" t="s">
        <v>892</v>
      </c>
      <c r="B1412" s="7">
        <v>46028</v>
      </c>
      <c r="C1412" s="9" t="str">
        <f>HYPERLINK("https://eping.wto.org/en/Search?viewData= G/TBT/N/PAN/139"," G/TBT/N/PAN/139")</f>
        <v xml:space="preserve"> G/TBT/N/PAN/139</v>
      </c>
      <c r="D1412" s="8" t="s">
        <v>5439</v>
      </c>
      <c r="E1412" s="8" t="s">
        <v>5018</v>
      </c>
      <c r="F1412" s="8" t="s">
        <v>1550</v>
      </c>
      <c r="G1412" s="8" t="s">
        <v>4903</v>
      </c>
      <c r="H1412" s="8" t="s">
        <v>431</v>
      </c>
      <c r="I1412" s="8" t="s">
        <v>1483</v>
      </c>
      <c r="J1412" s="8" t="s">
        <v>43</v>
      </c>
      <c r="K1412" s="8" t="s">
        <v>240</v>
      </c>
      <c r="L1412" s="6"/>
      <c r="M1412" s="7">
        <v>46088</v>
      </c>
      <c r="N1412" s="7" t="s">
        <v>79</v>
      </c>
      <c r="O1412" s="7" t="s">
        <v>79</v>
      </c>
      <c r="P1412" s="6" t="s">
        <v>62</v>
      </c>
      <c r="Q1412" s="8" t="s">
        <v>5440</v>
      </c>
      <c r="R1412" t="str">
        <f>HYPERLINK("https://docs.wto.org/imrd/directdoc.asp?DDFDocuments/t/G/TBTN26/PAN139.docx", "https://docs.wto.org/imrd/directdoc.asp?DDFDocuments/t/G/TBTN26/PAN139.docx")</f>
        <v>https://docs.wto.org/imrd/directdoc.asp?DDFDocuments/t/G/TBTN26/PAN139.docx</v>
      </c>
      <c r="S1412" t="str">
        <f>HYPERLINK("https://docs.wto.org/imrd/directdoc.asp?DDFDocuments/u/G/TBTN26/PAN139.docx", "https://docs.wto.org/imrd/directdoc.asp?DDFDocuments/u/G/TBTN26/PAN139.docx")</f>
        <v>https://docs.wto.org/imrd/directdoc.asp?DDFDocuments/u/G/TBTN26/PAN139.docx</v>
      </c>
      <c r="T1412" t="str">
        <f>HYPERLINK("https://docs.wto.org/imrd/directdoc.asp?DDFDocuments/v/G/TBTN26/PAN139.docx", "https://docs.wto.org/imrd/directdoc.asp?DDFDocuments/v/G/TBTN26/PAN139.docx")</f>
        <v>https://docs.wto.org/imrd/directdoc.asp?DDFDocuments/v/G/TBTN26/PAN139.docx</v>
      </c>
      <c r="U1412" t="s">
        <v>64</v>
      </c>
      <c r="V1412" t="s">
        <v>46</v>
      </c>
      <c r="W1412" t="s">
        <v>46</v>
      </c>
      <c r="X1412" t="s">
        <v>46</v>
      </c>
      <c r="Y1412" t="s">
        <v>46</v>
      </c>
      <c r="Z1412" t="s">
        <v>46</v>
      </c>
      <c r="AA1412" t="s">
        <v>46</v>
      </c>
      <c r="AB1412" s="2" t="s">
        <v>5376</v>
      </c>
      <c r="AC1412" t="s">
        <v>43</v>
      </c>
      <c r="AD1412" t="s">
        <v>43</v>
      </c>
      <c r="AE1412" t="s">
        <v>43</v>
      </c>
      <c r="AF1412" t="s">
        <v>43</v>
      </c>
      <c r="AG1412" t="s">
        <v>43</v>
      </c>
      <c r="AH1412" s="2" t="s">
        <v>43</v>
      </c>
    </row>
    <row r="1413" spans="1:34" ht="75">
      <c r="A1413" s="6" t="s">
        <v>325</v>
      </c>
      <c r="B1413" s="7">
        <v>46028</v>
      </c>
      <c r="C1413" s="9" t="str">
        <f>HYPERLINK("https://eping.wto.org/en/Search?viewData= G/TBT/N/TPKM/576/Add.1"," G/TBT/N/TPKM/576/Add.1")</f>
        <v xml:space="preserve"> G/TBT/N/TPKM/576/Add.1</v>
      </c>
      <c r="D1413" s="8" t="s">
        <v>5441</v>
      </c>
      <c r="E1413" s="8" t="s">
        <v>5442</v>
      </c>
      <c r="F1413" s="8" t="s">
        <v>5443</v>
      </c>
      <c r="G1413" s="8" t="s">
        <v>5444</v>
      </c>
      <c r="H1413" s="8" t="s">
        <v>5445</v>
      </c>
      <c r="I1413" s="8" t="s">
        <v>1477</v>
      </c>
      <c r="J1413" s="8" t="s">
        <v>5446</v>
      </c>
      <c r="K1413" s="8" t="s">
        <v>43</v>
      </c>
      <c r="L1413" s="6"/>
      <c r="M1413" s="7" t="s">
        <v>43</v>
      </c>
      <c r="N1413" s="7"/>
      <c r="O1413" s="7"/>
      <c r="P1413" s="6" t="s">
        <v>44</v>
      </c>
      <c r="Q1413" s="8" t="s">
        <v>5447</v>
      </c>
      <c r="R1413" t="str">
        <f>HYPERLINK("https://docs.wto.org/imrd/directdoc.asp?DDFDocuments/t/G/TBTN25/TPKM576A1.docx", "https://docs.wto.org/imrd/directdoc.asp?DDFDocuments/t/G/TBTN25/TPKM576A1.docx")</f>
        <v>https://docs.wto.org/imrd/directdoc.asp?DDFDocuments/t/G/TBTN25/TPKM576A1.docx</v>
      </c>
      <c r="S1413" t="str">
        <f>HYPERLINK("https://docs.wto.org/imrd/directdoc.asp?DDFDocuments/u/G/TBTN25/TPKM576A1.docx", "https://docs.wto.org/imrd/directdoc.asp?DDFDocuments/u/G/TBTN25/TPKM576A1.docx")</f>
        <v>https://docs.wto.org/imrd/directdoc.asp?DDFDocuments/u/G/TBTN25/TPKM576A1.docx</v>
      </c>
      <c r="T1413" t="str">
        <f>HYPERLINK("https://docs.wto.org/imrd/directdoc.asp?DDFDocuments/v/G/TBTN25/TPKM576A1.docx", "https://docs.wto.org/imrd/directdoc.asp?DDFDocuments/v/G/TBTN25/TPKM576A1.docx")</f>
        <v>https://docs.wto.org/imrd/directdoc.asp?DDFDocuments/v/G/TBTN25/TPKM576A1.docx</v>
      </c>
      <c r="U1413" t="s">
        <v>46</v>
      </c>
      <c r="V1413" t="s">
        <v>46</v>
      </c>
      <c r="W1413" t="s">
        <v>46</v>
      </c>
      <c r="X1413" t="s">
        <v>46</v>
      </c>
      <c r="Y1413" t="s">
        <v>46</v>
      </c>
      <c r="Z1413" t="s">
        <v>46</v>
      </c>
      <c r="AA1413" t="s">
        <v>46</v>
      </c>
      <c r="AB1413" s="2" t="s">
        <v>43</v>
      </c>
      <c r="AC1413" t="s">
        <v>43</v>
      </c>
      <c r="AD1413" t="s">
        <v>43</v>
      </c>
      <c r="AE1413" t="s">
        <v>43</v>
      </c>
      <c r="AF1413" t="s">
        <v>43</v>
      </c>
      <c r="AG1413" t="s">
        <v>43</v>
      </c>
      <c r="AH1413" s="2" t="s">
        <v>43</v>
      </c>
    </row>
    <row r="1414" spans="1:34" ht="45">
      <c r="A1414" s="6" t="s">
        <v>108</v>
      </c>
      <c r="B1414" s="7">
        <v>46028</v>
      </c>
      <c r="C1414" s="9" t="str">
        <f>HYPERLINK("https://eping.wto.org/en/Search?viewData= G/TBT/N/BDI/698, G/TBT/N/KEN/1960, G/TBT/N/RWA/1328, G/TBT/N/TZA/1478, G/TBT/N/UGA/2296"," G/TBT/N/BDI/698, G/TBT/N/KEN/1960, G/TBT/N/RWA/1328, G/TBT/N/TZA/1478, G/TBT/N/UGA/2296")</f>
        <v xml:space="preserve"> G/TBT/N/BDI/698, G/TBT/N/KEN/1960, G/TBT/N/RWA/1328, G/TBT/N/TZA/1478, G/TBT/N/UGA/2296</v>
      </c>
      <c r="D1414" s="8" t="s">
        <v>5321</v>
      </c>
      <c r="E1414" s="8" t="s">
        <v>5322</v>
      </c>
      <c r="F1414" s="8" t="s">
        <v>4384</v>
      </c>
      <c r="G1414" s="8" t="s">
        <v>43</v>
      </c>
      <c r="H1414" s="8" t="s">
        <v>4385</v>
      </c>
      <c r="I1414" s="8" t="s">
        <v>2058</v>
      </c>
      <c r="J1414" s="8" t="s">
        <v>43</v>
      </c>
      <c r="K1414" s="8" t="s">
        <v>43</v>
      </c>
      <c r="L1414" s="6"/>
      <c r="M1414" s="7">
        <v>46088</v>
      </c>
      <c r="N1414" s="7">
        <v>46112</v>
      </c>
      <c r="O1414" s="7" t="s">
        <v>79</v>
      </c>
      <c r="P1414" s="6" t="s">
        <v>62</v>
      </c>
      <c r="Q1414" s="8" t="s">
        <v>5323</v>
      </c>
      <c r="R1414" t="str">
        <f>HYPERLINK("https://docs.wto.org/imrd/directdoc.asp?DDFDocuments/t/G/TBTN26/BDI698.docx", "https://docs.wto.org/imrd/directdoc.asp?DDFDocuments/t/G/TBTN26/BDI698.docx")</f>
        <v>https://docs.wto.org/imrd/directdoc.asp?DDFDocuments/t/G/TBTN26/BDI698.docx</v>
      </c>
      <c r="S1414" t="str">
        <f>HYPERLINK("https://docs.wto.org/imrd/directdoc.asp?DDFDocuments/u/G/TBTN26/BDI698.docx", "https://docs.wto.org/imrd/directdoc.asp?DDFDocuments/u/G/TBTN26/BDI698.docx")</f>
        <v>https://docs.wto.org/imrd/directdoc.asp?DDFDocuments/u/G/TBTN26/BDI698.docx</v>
      </c>
      <c r="T1414" t="str">
        <f>HYPERLINK("https://docs.wto.org/imrd/directdoc.asp?DDFDocuments/v/G/TBTN26/BDI698.docx", "https://docs.wto.org/imrd/directdoc.asp?DDFDocuments/v/G/TBTN26/BDI698.docx")</f>
        <v>https://docs.wto.org/imrd/directdoc.asp?DDFDocuments/v/G/TBTN26/BDI698.docx</v>
      </c>
      <c r="U1414" t="s">
        <v>64</v>
      </c>
      <c r="V1414" t="s">
        <v>46</v>
      </c>
      <c r="W1414" t="s">
        <v>64</v>
      </c>
      <c r="X1414" t="s">
        <v>46</v>
      </c>
      <c r="Y1414" t="s">
        <v>46</v>
      </c>
      <c r="Z1414" t="s">
        <v>46</v>
      </c>
      <c r="AA1414" t="s">
        <v>46</v>
      </c>
      <c r="AB1414" s="2" t="s">
        <v>145</v>
      </c>
      <c r="AC1414" t="s">
        <v>43</v>
      </c>
      <c r="AD1414" t="s">
        <v>43</v>
      </c>
      <c r="AE1414" t="s">
        <v>43</v>
      </c>
      <c r="AF1414" t="s">
        <v>43</v>
      </c>
      <c r="AG1414" t="s">
        <v>43</v>
      </c>
      <c r="AH1414" s="2" t="s">
        <v>43</v>
      </c>
    </row>
    <row r="1415" spans="1:34" ht="240">
      <c r="A1415" s="6" t="s">
        <v>892</v>
      </c>
      <c r="B1415" s="7">
        <v>46028</v>
      </c>
      <c r="C1415" s="9" t="str">
        <f>HYPERLINK("https://eping.wto.org/en/Search?viewData= G/TBT/N/PAN/138"," G/TBT/N/PAN/138")</f>
        <v xml:space="preserve"> G/TBT/N/PAN/138</v>
      </c>
      <c r="D1415" s="8" t="s">
        <v>5448</v>
      </c>
      <c r="E1415" s="8" t="s">
        <v>5449</v>
      </c>
      <c r="F1415" s="8" t="s">
        <v>1550</v>
      </c>
      <c r="G1415" s="8" t="s">
        <v>4903</v>
      </c>
      <c r="H1415" s="8" t="s">
        <v>431</v>
      </c>
      <c r="I1415" s="8" t="s">
        <v>1483</v>
      </c>
      <c r="J1415" s="8" t="s">
        <v>43</v>
      </c>
      <c r="K1415" s="8" t="s">
        <v>240</v>
      </c>
      <c r="L1415" s="6"/>
      <c r="M1415" s="7">
        <v>46088</v>
      </c>
      <c r="N1415" s="7" t="s">
        <v>79</v>
      </c>
      <c r="O1415" s="7" t="s">
        <v>79</v>
      </c>
      <c r="P1415" s="6" t="s">
        <v>62</v>
      </c>
      <c r="Q1415" s="8" t="s">
        <v>5450</v>
      </c>
      <c r="R1415" t="str">
        <f>HYPERLINK("https://docs.wto.org/imrd/directdoc.asp?DDFDocuments/t/G/TBTN26/PAN138.docx", "https://docs.wto.org/imrd/directdoc.asp?DDFDocuments/t/G/TBTN26/PAN138.docx")</f>
        <v>https://docs.wto.org/imrd/directdoc.asp?DDFDocuments/t/G/TBTN26/PAN138.docx</v>
      </c>
      <c r="S1415" t="str">
        <f>HYPERLINK("https://docs.wto.org/imrd/directdoc.asp?DDFDocuments/u/G/TBTN26/PAN138.docx", "https://docs.wto.org/imrd/directdoc.asp?DDFDocuments/u/G/TBTN26/PAN138.docx")</f>
        <v>https://docs.wto.org/imrd/directdoc.asp?DDFDocuments/u/G/TBTN26/PAN138.docx</v>
      </c>
      <c r="T1415" t="str">
        <f>HYPERLINK("https://docs.wto.org/imrd/directdoc.asp?DDFDocuments/v/G/TBTN26/PAN138.docx", "https://docs.wto.org/imrd/directdoc.asp?DDFDocuments/v/G/TBTN26/PAN138.docx")</f>
        <v>https://docs.wto.org/imrd/directdoc.asp?DDFDocuments/v/G/TBTN26/PAN138.docx</v>
      </c>
      <c r="U1415" t="s">
        <v>64</v>
      </c>
      <c r="V1415" t="s">
        <v>46</v>
      </c>
      <c r="W1415" t="s">
        <v>46</v>
      </c>
      <c r="X1415" t="s">
        <v>46</v>
      </c>
      <c r="Y1415" t="s">
        <v>46</v>
      </c>
      <c r="Z1415" t="s">
        <v>46</v>
      </c>
      <c r="AA1415" t="s">
        <v>46</v>
      </c>
      <c r="AB1415" s="2" t="s">
        <v>5451</v>
      </c>
      <c r="AC1415" t="s">
        <v>43</v>
      </c>
      <c r="AD1415" t="s">
        <v>43</v>
      </c>
      <c r="AE1415" t="s">
        <v>43</v>
      </c>
      <c r="AF1415" t="s">
        <v>43</v>
      </c>
      <c r="AG1415" t="s">
        <v>43</v>
      </c>
      <c r="AH1415" s="2" t="s">
        <v>43</v>
      </c>
    </row>
    <row r="1416" spans="1:34" ht="180">
      <c r="A1416" s="6" t="s">
        <v>880</v>
      </c>
      <c r="B1416" s="7">
        <v>46028</v>
      </c>
      <c r="C1416" s="9" t="str">
        <f>HYPERLINK("https://eping.wto.org/en/Search?viewData= G/TBT/N/ECU/490/Add.6"," G/TBT/N/ECU/490/Add.6")</f>
        <v xml:space="preserve"> G/TBT/N/ECU/490/Add.6</v>
      </c>
      <c r="D1416" s="8" t="s">
        <v>5452</v>
      </c>
      <c r="E1416" s="8" t="s">
        <v>5453</v>
      </c>
      <c r="F1416" s="8" t="s">
        <v>5454</v>
      </c>
      <c r="G1416" s="8" t="s">
        <v>43</v>
      </c>
      <c r="H1416" s="8" t="s">
        <v>947</v>
      </c>
      <c r="I1416" s="8" t="s">
        <v>1564</v>
      </c>
      <c r="J1416" s="8" t="s">
        <v>43</v>
      </c>
      <c r="K1416" s="8" t="s">
        <v>43</v>
      </c>
      <c r="L1416" s="6"/>
      <c r="M1416" s="7" t="s">
        <v>43</v>
      </c>
      <c r="N1416" s="7"/>
      <c r="O1416" s="7"/>
      <c r="P1416" s="6" t="s">
        <v>44</v>
      </c>
      <c r="Q1416" s="8" t="s">
        <v>5455</v>
      </c>
      <c r="R1416" t="str">
        <f>HYPERLINK("https://docs.wto.org/imrd/directdoc.asp?DDFDocuments/t/G/TBTN20/ECU490A6.docx", "https://docs.wto.org/imrd/directdoc.asp?DDFDocuments/t/G/TBTN20/ECU490A6.docx")</f>
        <v>https://docs.wto.org/imrd/directdoc.asp?DDFDocuments/t/G/TBTN20/ECU490A6.docx</v>
      </c>
      <c r="S1416" t="str">
        <f>HYPERLINK("https://docs.wto.org/imrd/directdoc.asp?DDFDocuments/u/G/TBTN20/ECU490A6.docx", "https://docs.wto.org/imrd/directdoc.asp?DDFDocuments/u/G/TBTN20/ECU490A6.docx")</f>
        <v>https://docs.wto.org/imrd/directdoc.asp?DDFDocuments/u/G/TBTN20/ECU490A6.docx</v>
      </c>
      <c r="T1416" t="str">
        <f>HYPERLINK("https://docs.wto.org/imrd/directdoc.asp?DDFDocuments/v/G/TBTN20/ECU490A6.docx", "https://docs.wto.org/imrd/directdoc.asp?DDFDocuments/v/G/TBTN20/ECU490A6.docx")</f>
        <v>https://docs.wto.org/imrd/directdoc.asp?DDFDocuments/v/G/TBTN20/ECU490A6.docx</v>
      </c>
      <c r="U1416" t="s">
        <v>64</v>
      </c>
      <c r="V1416" t="s">
        <v>46</v>
      </c>
      <c r="W1416" t="s">
        <v>64</v>
      </c>
      <c r="X1416" t="s">
        <v>46</v>
      </c>
      <c r="Y1416" t="s">
        <v>46</v>
      </c>
      <c r="Z1416" t="s">
        <v>46</v>
      </c>
      <c r="AA1416" t="s">
        <v>46</v>
      </c>
      <c r="AB1416" s="2" t="s">
        <v>43</v>
      </c>
      <c r="AC1416" t="s">
        <v>43</v>
      </c>
      <c r="AD1416" t="s">
        <v>43</v>
      </c>
      <c r="AE1416" t="s">
        <v>43</v>
      </c>
      <c r="AF1416" t="s">
        <v>43</v>
      </c>
      <c r="AG1416" t="s">
        <v>43</v>
      </c>
      <c r="AH1416" s="2" t="s">
        <v>43</v>
      </c>
    </row>
    <row r="1417" spans="1:34" ht="90">
      <c r="A1417" s="6" t="s">
        <v>185</v>
      </c>
      <c r="B1417" s="7">
        <v>46028</v>
      </c>
      <c r="C1417" s="9" t="str">
        <f>HYPERLINK("https://eping.wto.org/en/Search?viewData= G/TBT/N/CHN/2171"," G/TBT/N/CHN/2171")</f>
        <v xml:space="preserve"> G/TBT/N/CHN/2171</v>
      </c>
      <c r="D1417" s="8" t="s">
        <v>5456</v>
      </c>
      <c r="E1417" s="8" t="s">
        <v>5457</v>
      </c>
      <c r="F1417" s="8" t="s">
        <v>5458</v>
      </c>
      <c r="G1417" s="8" t="s">
        <v>5459</v>
      </c>
      <c r="H1417" s="8" t="s">
        <v>5460</v>
      </c>
      <c r="I1417" s="8" t="s">
        <v>275</v>
      </c>
      <c r="J1417" s="8" t="s">
        <v>43</v>
      </c>
      <c r="K1417" s="8" t="s">
        <v>43</v>
      </c>
      <c r="L1417" s="6"/>
      <c r="M1417" s="7" t="s">
        <v>43</v>
      </c>
      <c r="N1417" s="7" t="s">
        <v>79</v>
      </c>
      <c r="O1417" s="7" t="s">
        <v>192</v>
      </c>
      <c r="P1417" s="6" t="s">
        <v>62</v>
      </c>
      <c r="Q1417" s="8" t="s">
        <v>5461</v>
      </c>
      <c r="R1417" t="str">
        <f>HYPERLINK("https://docs.wto.org/imrd/directdoc.asp?DDFDocuments/t/G/TBTN26/CHN2171.docx", "https://docs.wto.org/imrd/directdoc.asp?DDFDocuments/t/G/TBTN26/CHN2171.docx")</f>
        <v>https://docs.wto.org/imrd/directdoc.asp?DDFDocuments/t/G/TBTN26/CHN2171.docx</v>
      </c>
      <c r="S1417" t="str">
        <f>HYPERLINK("https://docs.wto.org/imrd/directdoc.asp?DDFDocuments/u/G/TBTN26/CHN2171.docx", "https://docs.wto.org/imrd/directdoc.asp?DDFDocuments/u/G/TBTN26/CHN2171.docx")</f>
        <v>https://docs.wto.org/imrd/directdoc.asp?DDFDocuments/u/G/TBTN26/CHN2171.docx</v>
      </c>
      <c r="T1417" t="str">
        <f>HYPERLINK("https://docs.wto.org/imrd/directdoc.asp?DDFDocuments/v/G/TBTN26/CHN2171.docx", "https://docs.wto.org/imrd/directdoc.asp?DDFDocuments/v/G/TBTN26/CHN2171.docx")</f>
        <v>https://docs.wto.org/imrd/directdoc.asp?DDFDocuments/v/G/TBTN26/CHN2171.docx</v>
      </c>
      <c r="U1417" t="s">
        <v>46</v>
      </c>
      <c r="V1417" t="s">
        <v>46</v>
      </c>
      <c r="W1417" t="s">
        <v>46</v>
      </c>
      <c r="X1417" t="s">
        <v>64</v>
      </c>
      <c r="Y1417" t="s">
        <v>46</v>
      </c>
      <c r="Z1417" t="s">
        <v>46</v>
      </c>
      <c r="AA1417" t="s">
        <v>46</v>
      </c>
      <c r="AB1417" s="2" t="s">
        <v>43</v>
      </c>
      <c r="AC1417" t="s">
        <v>43</v>
      </c>
      <c r="AD1417" t="s">
        <v>43</v>
      </c>
      <c r="AE1417" t="s">
        <v>43</v>
      </c>
      <c r="AF1417" t="s">
        <v>43</v>
      </c>
      <c r="AG1417" t="s">
        <v>43</v>
      </c>
      <c r="AH1417" s="2" t="s">
        <v>43</v>
      </c>
    </row>
    <row r="1418" spans="1:34" ht="225">
      <c r="A1418" s="6" t="s">
        <v>390</v>
      </c>
      <c r="B1418" s="7">
        <v>46028</v>
      </c>
      <c r="C1418" s="9" t="str">
        <f>HYPERLINK("https://eping.wto.org/en/Search?viewData= G/TBT/N/TZA/1475"," G/TBT/N/TZA/1475")</f>
        <v xml:space="preserve"> G/TBT/N/TZA/1475</v>
      </c>
      <c r="D1418" s="8" t="s">
        <v>5462</v>
      </c>
      <c r="E1418" s="8" t="s">
        <v>5463</v>
      </c>
      <c r="F1418" s="8" t="s">
        <v>694</v>
      </c>
      <c r="G1418" s="8" t="s">
        <v>430</v>
      </c>
      <c r="H1418" s="8" t="s">
        <v>431</v>
      </c>
      <c r="I1418" s="8" t="s">
        <v>684</v>
      </c>
      <c r="J1418" s="8" t="s">
        <v>43</v>
      </c>
      <c r="K1418" s="8" t="s">
        <v>240</v>
      </c>
      <c r="L1418" s="6"/>
      <c r="M1418" s="7">
        <v>46088</v>
      </c>
      <c r="N1418" s="7" t="s">
        <v>79</v>
      </c>
      <c r="O1418" s="7" t="s">
        <v>79</v>
      </c>
      <c r="P1418" s="6" t="s">
        <v>62</v>
      </c>
      <c r="Q1418" s="8" t="s">
        <v>5464</v>
      </c>
      <c r="R1418" t="str">
        <f>HYPERLINK("https://docs.wto.org/imrd/directdoc.asp?DDFDocuments/t/G/TBTN26/TZA1475.docx", "https://docs.wto.org/imrd/directdoc.asp?DDFDocuments/t/G/TBTN26/TZA1475.docx")</f>
        <v>https://docs.wto.org/imrd/directdoc.asp?DDFDocuments/t/G/TBTN26/TZA1475.docx</v>
      </c>
      <c r="S1418" t="str">
        <f>HYPERLINK("https://docs.wto.org/imrd/directdoc.asp?DDFDocuments/u/G/TBTN26/TZA1475.docx", "https://docs.wto.org/imrd/directdoc.asp?DDFDocuments/u/G/TBTN26/TZA1475.docx")</f>
        <v>https://docs.wto.org/imrd/directdoc.asp?DDFDocuments/u/G/TBTN26/TZA1475.docx</v>
      </c>
      <c r="T1418" t="str">
        <f>HYPERLINK("https://docs.wto.org/imrd/directdoc.asp?DDFDocuments/v/G/TBTN26/TZA1475.docx", "https://docs.wto.org/imrd/directdoc.asp?DDFDocuments/v/G/TBTN26/TZA1475.docx")</f>
        <v>https://docs.wto.org/imrd/directdoc.asp?DDFDocuments/v/G/TBTN26/TZA1475.docx</v>
      </c>
      <c r="U1418" t="s">
        <v>64</v>
      </c>
      <c r="V1418" t="s">
        <v>46</v>
      </c>
      <c r="W1418" t="s">
        <v>46</v>
      </c>
      <c r="X1418" t="s">
        <v>46</v>
      </c>
      <c r="Y1418" t="s">
        <v>46</v>
      </c>
      <c r="Z1418" t="s">
        <v>46</v>
      </c>
      <c r="AA1418" t="s">
        <v>46</v>
      </c>
      <c r="AB1418" s="2" t="s">
        <v>5465</v>
      </c>
      <c r="AC1418" t="s">
        <v>43</v>
      </c>
      <c r="AD1418" t="s">
        <v>43</v>
      </c>
      <c r="AE1418" t="s">
        <v>43</v>
      </c>
      <c r="AF1418" t="s">
        <v>43</v>
      </c>
      <c r="AG1418" t="s">
        <v>43</v>
      </c>
      <c r="AH1418" s="2" t="s">
        <v>43</v>
      </c>
    </row>
    <row r="1419" spans="1:34" ht="45">
      <c r="A1419" s="6" t="s">
        <v>390</v>
      </c>
      <c r="B1419" s="7">
        <v>46028</v>
      </c>
      <c r="C1419" s="9" t="str">
        <f>HYPERLINK("https://eping.wto.org/en/Search?viewData= G/TBT/N/BDI/699, G/TBT/N/KEN/1961, G/TBT/N/RWA/1329, G/TBT/N/TZA/1479, G/TBT/N/UGA/2297"," G/TBT/N/BDI/699, G/TBT/N/KEN/1961, G/TBT/N/RWA/1329, G/TBT/N/TZA/1479, G/TBT/N/UGA/2297")</f>
        <v xml:space="preserve"> G/TBT/N/BDI/699, G/TBT/N/KEN/1961, G/TBT/N/RWA/1329, G/TBT/N/TZA/1479, G/TBT/N/UGA/2297</v>
      </c>
      <c r="D1419" s="8" t="s">
        <v>5312</v>
      </c>
      <c r="E1419" s="8" t="s">
        <v>4364</v>
      </c>
      <c r="F1419" s="8" t="s">
        <v>4384</v>
      </c>
      <c r="G1419" s="8" t="s">
        <v>43</v>
      </c>
      <c r="H1419" s="8" t="s">
        <v>4385</v>
      </c>
      <c r="I1419" s="8" t="s">
        <v>2058</v>
      </c>
      <c r="J1419" s="8" t="s">
        <v>43</v>
      </c>
      <c r="K1419" s="8" t="s">
        <v>43</v>
      </c>
      <c r="L1419" s="6"/>
      <c r="M1419" s="7">
        <v>46088</v>
      </c>
      <c r="N1419" s="7">
        <v>46112</v>
      </c>
      <c r="O1419" s="7" t="s">
        <v>79</v>
      </c>
      <c r="P1419" s="6" t="s">
        <v>62</v>
      </c>
      <c r="Q1419" s="8" t="s">
        <v>5313</v>
      </c>
      <c r="R1419" t="str">
        <f>HYPERLINK("https://docs.wto.org/imrd/directdoc.asp?DDFDocuments/t/G/TBTN26/BDI699.docx", "https://docs.wto.org/imrd/directdoc.asp?DDFDocuments/t/G/TBTN26/BDI699.docx")</f>
        <v>https://docs.wto.org/imrd/directdoc.asp?DDFDocuments/t/G/TBTN26/BDI699.docx</v>
      </c>
      <c r="S1419" t="str">
        <f>HYPERLINK("https://docs.wto.org/imrd/directdoc.asp?DDFDocuments/u/G/TBTN26/BDI699.docx", "https://docs.wto.org/imrd/directdoc.asp?DDFDocuments/u/G/TBTN26/BDI699.docx")</f>
        <v>https://docs.wto.org/imrd/directdoc.asp?DDFDocuments/u/G/TBTN26/BDI699.docx</v>
      </c>
      <c r="T1419" t="str">
        <f>HYPERLINK("https://docs.wto.org/imrd/directdoc.asp?DDFDocuments/v/G/TBTN26/BDI699.docx", "https://docs.wto.org/imrd/directdoc.asp?DDFDocuments/v/G/TBTN26/BDI699.docx")</f>
        <v>https://docs.wto.org/imrd/directdoc.asp?DDFDocuments/v/G/TBTN26/BDI699.docx</v>
      </c>
      <c r="U1419" t="s">
        <v>64</v>
      </c>
      <c r="V1419" t="s">
        <v>46</v>
      </c>
      <c r="W1419" t="s">
        <v>46</v>
      </c>
      <c r="X1419" t="s">
        <v>46</v>
      </c>
      <c r="Y1419" t="s">
        <v>46</v>
      </c>
      <c r="Z1419" t="s">
        <v>46</v>
      </c>
      <c r="AA1419" t="s">
        <v>46</v>
      </c>
      <c r="AB1419" s="2" t="s">
        <v>5314</v>
      </c>
      <c r="AC1419" t="s">
        <v>43</v>
      </c>
      <c r="AD1419" t="s">
        <v>43</v>
      </c>
      <c r="AE1419" t="s">
        <v>43</v>
      </c>
      <c r="AF1419" t="s">
        <v>43</v>
      </c>
      <c r="AG1419" t="s">
        <v>43</v>
      </c>
      <c r="AH1419" s="2" t="s">
        <v>43</v>
      </c>
    </row>
    <row r="1420" spans="1:34" ht="75">
      <c r="A1420" s="6" t="s">
        <v>289</v>
      </c>
      <c r="B1420" s="7">
        <v>46028</v>
      </c>
      <c r="C1420" s="9" t="str">
        <f>HYPERLINK("https://eping.wto.org/en/Search?viewData= G/SPS/N/BRA/2451"," G/SPS/N/BRA/2451")</f>
        <v xml:space="preserve"> G/SPS/N/BRA/2451</v>
      </c>
      <c r="D1420" s="8" t="s">
        <v>5466</v>
      </c>
      <c r="E1420" s="8" t="s">
        <v>5467</v>
      </c>
      <c r="F1420" s="8" t="s">
        <v>5468</v>
      </c>
      <c r="G1420" s="8" t="s">
        <v>120</v>
      </c>
      <c r="H1420" s="8" t="s">
        <v>43</v>
      </c>
      <c r="I1420" s="8" t="s">
        <v>94</v>
      </c>
      <c r="J1420" s="8" t="s">
        <v>43</v>
      </c>
      <c r="K1420" s="8" t="s">
        <v>1706</v>
      </c>
      <c r="L1420" s="6" t="s">
        <v>146</v>
      </c>
      <c r="M1420" s="7">
        <v>46088</v>
      </c>
      <c r="N1420" s="7" t="s">
        <v>304</v>
      </c>
      <c r="O1420" s="7" t="s">
        <v>304</v>
      </c>
      <c r="P1420" s="6" t="s">
        <v>62</v>
      </c>
      <c r="Q1420" s="8" t="s">
        <v>5469</v>
      </c>
      <c r="R1420" t="str">
        <f>HYPERLINK("https://docs.wto.org/imrd/directdoc.asp?DDFDocuments/t/G/SPS/NBRA2451.docx", "https://docs.wto.org/imrd/directdoc.asp?DDFDocuments/t/G/SPS/NBRA2451.docx")</f>
        <v>https://docs.wto.org/imrd/directdoc.asp?DDFDocuments/t/G/SPS/NBRA2451.docx</v>
      </c>
      <c r="S1420" t="str">
        <f>HYPERLINK("https://docs.wto.org/imrd/directdoc.asp?DDFDocuments/u/G/SPS/NBRA2451.docx", "https://docs.wto.org/imrd/directdoc.asp?DDFDocuments/u/G/SPS/NBRA2451.docx")</f>
        <v>https://docs.wto.org/imrd/directdoc.asp?DDFDocuments/u/G/SPS/NBRA2451.docx</v>
      </c>
      <c r="T1420" t="str">
        <f>HYPERLINK("https://docs.wto.org/imrd/directdoc.asp?DDFDocuments/v/G/SPS/NBRA2451.docx", "https://docs.wto.org/imrd/directdoc.asp?DDFDocuments/v/G/SPS/NBRA2451.docx")</f>
        <v>https://docs.wto.org/imrd/directdoc.asp?DDFDocuments/v/G/SPS/NBRA2451.docx</v>
      </c>
      <c r="U1420" t="s">
        <v>43</v>
      </c>
      <c r="V1420" t="s">
        <v>43</v>
      </c>
      <c r="W1420" t="s">
        <v>43</v>
      </c>
      <c r="X1420" t="s">
        <v>43</v>
      </c>
      <c r="Y1420" t="s">
        <v>43</v>
      </c>
      <c r="Z1420" t="s">
        <v>43</v>
      </c>
      <c r="AA1420" t="s">
        <v>43</v>
      </c>
      <c r="AB1420" s="2" t="s">
        <v>43</v>
      </c>
      <c r="AC1420" t="s">
        <v>46</v>
      </c>
      <c r="AD1420" t="s">
        <v>46</v>
      </c>
      <c r="AE1420" t="s">
        <v>64</v>
      </c>
      <c r="AF1420" t="s">
        <v>46</v>
      </c>
      <c r="AG1420" t="s">
        <v>64</v>
      </c>
      <c r="AH1420" s="2" t="s">
        <v>43</v>
      </c>
    </row>
    <row r="1421" spans="1:34" ht="105">
      <c r="A1421" s="6" t="s">
        <v>249</v>
      </c>
      <c r="B1421" s="7">
        <v>46028</v>
      </c>
      <c r="C1421" s="9" t="str">
        <f>HYPERLINK("https://eping.wto.org/en/Search?viewData= G/SPS/N/COL/409"," G/SPS/N/COL/409")</f>
        <v xml:space="preserve"> G/SPS/N/COL/409</v>
      </c>
      <c r="D1421" s="8" t="s">
        <v>5470</v>
      </c>
      <c r="E1421" s="8" t="s">
        <v>5471</v>
      </c>
      <c r="F1421" s="8" t="s">
        <v>5357</v>
      </c>
      <c r="G1421" s="8" t="s">
        <v>5472</v>
      </c>
      <c r="H1421" s="8" t="s">
        <v>43</v>
      </c>
      <c r="I1421" s="8" t="s">
        <v>104</v>
      </c>
      <c r="J1421" s="8" t="s">
        <v>43</v>
      </c>
      <c r="K1421" s="8" t="s">
        <v>5359</v>
      </c>
      <c r="L1421" s="6" t="s">
        <v>5416</v>
      </c>
      <c r="M1421" s="7" t="s">
        <v>43</v>
      </c>
      <c r="N1421" s="7"/>
      <c r="O1421" s="7">
        <v>46021</v>
      </c>
      <c r="P1421" s="6" t="s">
        <v>107</v>
      </c>
      <c r="Q1421" s="8" t="s">
        <v>5473</v>
      </c>
      <c r="R1421" t="str">
        <f>HYPERLINK("https://docs.wto.org/imrd/directdoc.asp?DDFDocuments/t/G/SPS/NCOL409.docx", "https://docs.wto.org/imrd/directdoc.asp?DDFDocuments/t/G/SPS/NCOL409.docx")</f>
        <v>https://docs.wto.org/imrd/directdoc.asp?DDFDocuments/t/G/SPS/NCOL409.docx</v>
      </c>
      <c r="S1421" t="str">
        <f>HYPERLINK("https://docs.wto.org/imrd/directdoc.asp?DDFDocuments/u/G/SPS/NCOL409.docx", "https://docs.wto.org/imrd/directdoc.asp?DDFDocuments/u/G/SPS/NCOL409.docx")</f>
        <v>https://docs.wto.org/imrd/directdoc.asp?DDFDocuments/u/G/SPS/NCOL409.docx</v>
      </c>
      <c r="T1421" t="str">
        <f>HYPERLINK("https://docs.wto.org/imrd/directdoc.asp?DDFDocuments/v/G/SPS/NCOL409.docx", "https://docs.wto.org/imrd/directdoc.asp?DDFDocuments/v/G/SPS/NCOL409.docx")</f>
        <v>https://docs.wto.org/imrd/directdoc.asp?DDFDocuments/v/G/SPS/NCOL409.docx</v>
      </c>
      <c r="U1421" t="s">
        <v>43</v>
      </c>
      <c r="V1421" t="s">
        <v>43</v>
      </c>
      <c r="W1421" t="s">
        <v>43</v>
      </c>
      <c r="X1421" t="s">
        <v>43</v>
      </c>
      <c r="Y1421" t="s">
        <v>43</v>
      </c>
      <c r="Z1421" t="s">
        <v>43</v>
      </c>
      <c r="AA1421" t="s">
        <v>43</v>
      </c>
      <c r="AB1421" s="2" t="s">
        <v>43</v>
      </c>
      <c r="AC1421" t="s">
        <v>46</v>
      </c>
      <c r="AD1421" t="s">
        <v>46</v>
      </c>
      <c r="AE1421" t="s">
        <v>46</v>
      </c>
      <c r="AF1421" t="s">
        <v>64</v>
      </c>
      <c r="AG1421" t="s">
        <v>99</v>
      </c>
      <c r="AH1421" s="2" t="s">
        <v>43</v>
      </c>
    </row>
    <row r="1422" spans="1:34" ht="150">
      <c r="A1422" s="6" t="s">
        <v>185</v>
      </c>
      <c r="B1422" s="7">
        <v>46027</v>
      </c>
      <c r="C1422" s="9" t="str">
        <f>HYPERLINK("https://eping.wto.org/en/Search?viewData= G/SPS/N/CHN/1357"," G/SPS/N/CHN/1357")</f>
        <v xml:space="preserve"> G/SPS/N/CHN/1357</v>
      </c>
      <c r="D1422" s="8" t="s">
        <v>5474</v>
      </c>
      <c r="E1422" s="8" t="s">
        <v>5475</v>
      </c>
      <c r="F1422" s="8" t="s">
        <v>5476</v>
      </c>
      <c r="G1422" s="8" t="s">
        <v>43</v>
      </c>
      <c r="H1422" s="8" t="s">
        <v>43</v>
      </c>
      <c r="I1422" s="8" t="s">
        <v>3892</v>
      </c>
      <c r="J1422" s="8" t="s">
        <v>43</v>
      </c>
      <c r="K1422" s="8" t="s">
        <v>5477</v>
      </c>
      <c r="L1422" s="6" t="s">
        <v>43</v>
      </c>
      <c r="M1422" s="7" t="s">
        <v>43</v>
      </c>
      <c r="N1422" s="7">
        <v>45968</v>
      </c>
      <c r="O1422" s="7">
        <v>46006</v>
      </c>
      <c r="P1422" s="6" t="s">
        <v>62</v>
      </c>
      <c r="Q1422" s="8" t="s">
        <v>5478</v>
      </c>
      <c r="R1422" t="str">
        <f>HYPERLINK("https://docs.wto.org/imrd/directdoc.asp?DDFDocuments/t/G/SPS/NCHN1357.docx", "https://docs.wto.org/imrd/directdoc.asp?DDFDocuments/t/G/SPS/NCHN1357.docx")</f>
        <v>https://docs.wto.org/imrd/directdoc.asp?DDFDocuments/t/G/SPS/NCHN1357.docx</v>
      </c>
      <c r="S1422" t="str">
        <f>HYPERLINK("https://docs.wto.org/imrd/directdoc.asp?DDFDocuments/u/G/SPS/NCHN1357.docx", "https://docs.wto.org/imrd/directdoc.asp?DDFDocuments/u/G/SPS/NCHN1357.docx")</f>
        <v>https://docs.wto.org/imrd/directdoc.asp?DDFDocuments/u/G/SPS/NCHN1357.docx</v>
      </c>
      <c r="T1422" t="str">
        <f>HYPERLINK("https://docs.wto.org/imrd/directdoc.asp?DDFDocuments/v/G/SPS/NCHN1357.docx", "https://docs.wto.org/imrd/directdoc.asp?DDFDocuments/v/G/SPS/NCHN1357.docx")</f>
        <v>https://docs.wto.org/imrd/directdoc.asp?DDFDocuments/v/G/SPS/NCHN1357.docx</v>
      </c>
      <c r="U1422" t="s">
        <v>43</v>
      </c>
      <c r="V1422" t="s">
        <v>43</v>
      </c>
      <c r="W1422" t="s">
        <v>43</v>
      </c>
      <c r="X1422" t="s">
        <v>43</v>
      </c>
      <c r="Y1422" t="s">
        <v>43</v>
      </c>
      <c r="Z1422" t="s">
        <v>43</v>
      </c>
      <c r="AA1422" t="s">
        <v>43</v>
      </c>
      <c r="AB1422" s="2" t="s">
        <v>43</v>
      </c>
      <c r="AC1422" t="s">
        <v>46</v>
      </c>
      <c r="AD1422" t="s">
        <v>46</v>
      </c>
      <c r="AE1422" t="s">
        <v>64</v>
      </c>
      <c r="AF1422" t="s">
        <v>46</v>
      </c>
      <c r="AG1422" t="s">
        <v>64</v>
      </c>
      <c r="AH1422" s="2" t="s">
        <v>43</v>
      </c>
    </row>
    <row r="1423" spans="1:34" ht="165">
      <c r="A1423" s="6" t="s">
        <v>158</v>
      </c>
      <c r="B1423" s="7">
        <v>46027</v>
      </c>
      <c r="C1423" s="9" t="str">
        <f>HYPERLINK("https://eping.wto.org/en/Search?viewData= G/TBT/N/UKR/366"," G/TBT/N/UKR/366")</f>
        <v xml:space="preserve"> G/TBT/N/UKR/366</v>
      </c>
      <c r="D1423" s="8" t="s">
        <v>1841</v>
      </c>
      <c r="E1423" s="8" t="s">
        <v>5479</v>
      </c>
      <c r="F1423" s="8" t="s">
        <v>1843</v>
      </c>
      <c r="G1423" s="8" t="s">
        <v>43</v>
      </c>
      <c r="H1423" s="8" t="s">
        <v>5480</v>
      </c>
      <c r="I1423" s="8" t="s">
        <v>275</v>
      </c>
      <c r="J1423" s="8" t="s">
        <v>43</v>
      </c>
      <c r="K1423" s="8" t="s">
        <v>350</v>
      </c>
      <c r="L1423" s="6"/>
      <c r="M1423" s="7">
        <v>46087</v>
      </c>
      <c r="N1423" s="7" t="s">
        <v>79</v>
      </c>
      <c r="O1423" s="7" t="s">
        <v>5481</v>
      </c>
      <c r="P1423" s="6" t="s">
        <v>62</v>
      </c>
      <c r="Q1423" s="8" t="s">
        <v>5482</v>
      </c>
      <c r="R1423" t="str">
        <f>HYPERLINK("https://docs.wto.org/imrd/directdoc.asp?DDFDocuments/t/G/TBTN26/UKR366.docx", "https://docs.wto.org/imrd/directdoc.asp?DDFDocuments/t/G/TBTN26/UKR366.docx")</f>
        <v>https://docs.wto.org/imrd/directdoc.asp?DDFDocuments/t/G/TBTN26/UKR366.docx</v>
      </c>
      <c r="S1423" t="str">
        <f>HYPERLINK("https://docs.wto.org/imrd/directdoc.asp?DDFDocuments/u/G/TBTN26/UKR366.docx", "https://docs.wto.org/imrd/directdoc.asp?DDFDocuments/u/G/TBTN26/UKR366.docx")</f>
        <v>https://docs.wto.org/imrd/directdoc.asp?DDFDocuments/u/G/TBTN26/UKR366.docx</v>
      </c>
      <c r="T1423" t="str">
        <f>HYPERLINK("https://docs.wto.org/imrd/directdoc.asp?DDFDocuments/v/G/TBTN26/UKR366.docx", "https://docs.wto.org/imrd/directdoc.asp?DDFDocuments/v/G/TBTN26/UKR366.docx")</f>
        <v>https://docs.wto.org/imrd/directdoc.asp?DDFDocuments/v/G/TBTN26/UKR366.docx</v>
      </c>
      <c r="U1423" t="s">
        <v>64</v>
      </c>
      <c r="V1423" t="s">
        <v>46</v>
      </c>
      <c r="W1423" t="s">
        <v>64</v>
      </c>
      <c r="X1423" t="s">
        <v>46</v>
      </c>
      <c r="Y1423" t="s">
        <v>46</v>
      </c>
      <c r="Z1423" t="s">
        <v>46</v>
      </c>
      <c r="AA1423" t="s">
        <v>46</v>
      </c>
      <c r="AB1423" s="2" t="s">
        <v>5483</v>
      </c>
      <c r="AC1423" t="s">
        <v>43</v>
      </c>
      <c r="AD1423" t="s">
        <v>43</v>
      </c>
      <c r="AE1423" t="s">
        <v>43</v>
      </c>
      <c r="AF1423" t="s">
        <v>43</v>
      </c>
      <c r="AG1423" t="s">
        <v>43</v>
      </c>
      <c r="AH1423" s="2" t="s">
        <v>43</v>
      </c>
    </row>
    <row r="1424" spans="1:34" ht="90">
      <c r="A1424" s="6" t="s">
        <v>146</v>
      </c>
      <c r="B1424" s="7">
        <v>46027</v>
      </c>
      <c r="C1424" s="9" t="str">
        <f>HYPERLINK("https://eping.wto.org/en/Search?viewData= G/TBT/N/CHL/767"," G/TBT/N/CHL/767")</f>
        <v xml:space="preserve"> G/TBT/N/CHL/767</v>
      </c>
      <c r="D1424" s="8" t="s">
        <v>5484</v>
      </c>
      <c r="E1424" s="8" t="s">
        <v>5485</v>
      </c>
      <c r="F1424" s="8" t="s">
        <v>5486</v>
      </c>
      <c r="G1424" s="8" t="s">
        <v>43</v>
      </c>
      <c r="H1424" s="8" t="s">
        <v>5487</v>
      </c>
      <c r="I1424" s="8" t="s">
        <v>129</v>
      </c>
      <c r="J1424" s="8" t="s">
        <v>43</v>
      </c>
      <c r="K1424" s="8" t="s">
        <v>43</v>
      </c>
      <c r="L1424" s="6"/>
      <c r="M1424" s="7">
        <v>46087</v>
      </c>
      <c r="N1424" s="7" t="s">
        <v>877</v>
      </c>
      <c r="O1424" s="7" t="s">
        <v>877</v>
      </c>
      <c r="P1424" s="6" t="s">
        <v>62</v>
      </c>
      <c r="Q1424" s="8" t="s">
        <v>5488</v>
      </c>
      <c r="R1424" t="str">
        <f>HYPERLINK("https://docs.wto.org/imrd/directdoc.asp?DDFDocuments/t/G/TBTN26/CHL767.docx", "https://docs.wto.org/imrd/directdoc.asp?DDFDocuments/t/G/TBTN26/CHL767.docx")</f>
        <v>https://docs.wto.org/imrd/directdoc.asp?DDFDocuments/t/G/TBTN26/CHL767.docx</v>
      </c>
      <c r="S1424" t="str">
        <f>HYPERLINK("https://docs.wto.org/imrd/directdoc.asp?DDFDocuments/u/G/TBTN26/CHL767.docx", "https://docs.wto.org/imrd/directdoc.asp?DDFDocuments/u/G/TBTN26/CHL767.docx")</f>
        <v>https://docs.wto.org/imrd/directdoc.asp?DDFDocuments/u/G/TBTN26/CHL767.docx</v>
      </c>
      <c r="T1424" t="str">
        <f>HYPERLINK("https://docs.wto.org/imrd/directdoc.asp?DDFDocuments/v/G/TBTN26/CHL767.docx", "https://docs.wto.org/imrd/directdoc.asp?DDFDocuments/v/G/TBTN26/CHL767.docx")</f>
        <v>https://docs.wto.org/imrd/directdoc.asp?DDFDocuments/v/G/TBTN26/CHL767.docx</v>
      </c>
      <c r="U1424" t="s">
        <v>64</v>
      </c>
      <c r="V1424" t="s">
        <v>46</v>
      </c>
      <c r="W1424" t="s">
        <v>46</v>
      </c>
      <c r="X1424" t="s">
        <v>46</v>
      </c>
      <c r="Y1424" t="s">
        <v>46</v>
      </c>
      <c r="Z1424" t="s">
        <v>46</v>
      </c>
      <c r="AA1424" t="s">
        <v>46</v>
      </c>
      <c r="AB1424" s="2" t="s">
        <v>5489</v>
      </c>
      <c r="AC1424" t="s">
        <v>43</v>
      </c>
      <c r="AD1424" t="s">
        <v>43</v>
      </c>
      <c r="AE1424" t="s">
        <v>43</v>
      </c>
      <c r="AF1424" t="s">
        <v>43</v>
      </c>
      <c r="AG1424" t="s">
        <v>43</v>
      </c>
      <c r="AH1424" s="2" t="s">
        <v>43</v>
      </c>
    </row>
    <row r="1425" spans="1:34" ht="45">
      <c r="A1425" s="6" t="s">
        <v>1886</v>
      </c>
      <c r="B1425" s="7">
        <v>46027</v>
      </c>
      <c r="C1425" s="9" t="str">
        <f>HYPERLINK("https://eping.wto.org/en/Search?viewData= G/SPS/N/KWT/201"," G/SPS/N/KWT/201")</f>
        <v xml:space="preserve"> G/SPS/N/KWT/201</v>
      </c>
      <c r="D1425" s="8" t="s">
        <v>5490</v>
      </c>
      <c r="E1425" s="8" t="s">
        <v>5491</v>
      </c>
      <c r="F1425" s="8" t="s">
        <v>5492</v>
      </c>
      <c r="G1425" s="8" t="s">
        <v>5493</v>
      </c>
      <c r="H1425" s="8" t="s">
        <v>5494</v>
      </c>
      <c r="I1425" s="8" t="s">
        <v>1721</v>
      </c>
      <c r="J1425" s="8" t="s">
        <v>43</v>
      </c>
      <c r="K1425" s="8" t="s">
        <v>5495</v>
      </c>
      <c r="L1425" s="6" t="s">
        <v>904</v>
      </c>
      <c r="M1425" s="7" t="s">
        <v>43</v>
      </c>
      <c r="N1425" s="7"/>
      <c r="O1425" s="7">
        <v>46015</v>
      </c>
      <c r="P1425" s="6" t="s">
        <v>107</v>
      </c>
      <c r="Q1425" s="8" t="s">
        <v>5496</v>
      </c>
      <c r="R1425" t="str">
        <f>HYPERLINK("https://docs.wto.org/imrd/directdoc.asp?DDFDocuments/t/G/SPS/NKWT201.docx", "https://docs.wto.org/imrd/directdoc.asp?DDFDocuments/t/G/SPS/NKWT201.docx")</f>
        <v>https://docs.wto.org/imrd/directdoc.asp?DDFDocuments/t/G/SPS/NKWT201.docx</v>
      </c>
      <c r="S1425" t="str">
        <f>HYPERLINK("https://docs.wto.org/imrd/directdoc.asp?DDFDocuments/u/G/SPS/NKWT201.docx", "https://docs.wto.org/imrd/directdoc.asp?DDFDocuments/u/G/SPS/NKWT201.docx")</f>
        <v>https://docs.wto.org/imrd/directdoc.asp?DDFDocuments/u/G/SPS/NKWT201.docx</v>
      </c>
      <c r="T1425" t="str">
        <f>HYPERLINK("https://docs.wto.org/imrd/directdoc.asp?DDFDocuments/v/G/SPS/NKWT201.docx", "https://docs.wto.org/imrd/directdoc.asp?DDFDocuments/v/G/SPS/NKWT201.docx")</f>
        <v>https://docs.wto.org/imrd/directdoc.asp?DDFDocuments/v/G/SPS/NKWT201.docx</v>
      </c>
      <c r="U1425" t="s">
        <v>43</v>
      </c>
      <c r="V1425" t="s">
        <v>43</v>
      </c>
      <c r="W1425" t="s">
        <v>43</v>
      </c>
      <c r="X1425" t="s">
        <v>43</v>
      </c>
      <c r="Y1425" t="s">
        <v>43</v>
      </c>
      <c r="Z1425" t="s">
        <v>43</v>
      </c>
      <c r="AA1425" t="s">
        <v>43</v>
      </c>
      <c r="AB1425" s="2" t="s">
        <v>43</v>
      </c>
      <c r="AC1425" t="s">
        <v>46</v>
      </c>
      <c r="AD1425" t="s">
        <v>64</v>
      </c>
      <c r="AE1425" t="s">
        <v>46</v>
      </c>
      <c r="AF1425" t="s">
        <v>46</v>
      </c>
      <c r="AG1425" t="s">
        <v>64</v>
      </c>
      <c r="AH1425" s="2" t="s">
        <v>43</v>
      </c>
    </row>
    <row r="1426" spans="1:34" ht="135">
      <c r="A1426" s="6" t="s">
        <v>338</v>
      </c>
      <c r="B1426" s="7">
        <v>46027</v>
      </c>
      <c r="C1426" s="9" t="str">
        <f>HYPERLINK("https://eping.wto.org/en/Search?viewData= G/SPS/N/SAU/608"," G/SPS/N/SAU/608")</f>
        <v xml:space="preserve"> G/SPS/N/SAU/608</v>
      </c>
      <c r="D1426" s="8" t="s">
        <v>5497</v>
      </c>
      <c r="E1426" s="8" t="s">
        <v>5498</v>
      </c>
      <c r="F1426" s="8" t="s">
        <v>1682</v>
      </c>
      <c r="G1426" s="8" t="s">
        <v>5499</v>
      </c>
      <c r="H1426" s="8" t="s">
        <v>43</v>
      </c>
      <c r="I1426" s="8" t="s">
        <v>361</v>
      </c>
      <c r="J1426" s="8" t="s">
        <v>43</v>
      </c>
      <c r="K1426" s="8" t="s">
        <v>5500</v>
      </c>
      <c r="L1426" s="6" t="s">
        <v>3144</v>
      </c>
      <c r="M1426" s="7" t="s">
        <v>43</v>
      </c>
      <c r="N1426" s="7"/>
      <c r="O1426" s="7">
        <v>46015</v>
      </c>
      <c r="P1426" s="6" t="s">
        <v>107</v>
      </c>
      <c r="Q1426" s="8" t="s">
        <v>5501</v>
      </c>
      <c r="R1426" t="str">
        <f>HYPERLINK("https://docs.wto.org/imrd/directdoc.asp?DDFDocuments/t/G/SPS/NSAU608.docx", "https://docs.wto.org/imrd/directdoc.asp?DDFDocuments/t/G/SPS/NSAU608.docx")</f>
        <v>https://docs.wto.org/imrd/directdoc.asp?DDFDocuments/t/G/SPS/NSAU608.docx</v>
      </c>
      <c r="S1426" t="str">
        <f>HYPERLINK("https://docs.wto.org/imrd/directdoc.asp?DDFDocuments/u/G/SPS/NSAU608.docx", "https://docs.wto.org/imrd/directdoc.asp?DDFDocuments/u/G/SPS/NSAU608.docx")</f>
        <v>https://docs.wto.org/imrd/directdoc.asp?DDFDocuments/u/G/SPS/NSAU608.docx</v>
      </c>
      <c r="T1426" t="str">
        <f>HYPERLINK("https://docs.wto.org/imrd/directdoc.asp?DDFDocuments/v/G/SPS/NSAU608.docx", "https://docs.wto.org/imrd/directdoc.asp?DDFDocuments/v/G/SPS/NSAU608.docx")</f>
        <v>https://docs.wto.org/imrd/directdoc.asp?DDFDocuments/v/G/SPS/NSAU608.docx</v>
      </c>
      <c r="U1426" t="s">
        <v>43</v>
      </c>
      <c r="V1426" t="s">
        <v>43</v>
      </c>
      <c r="W1426" t="s">
        <v>43</v>
      </c>
      <c r="X1426" t="s">
        <v>43</v>
      </c>
      <c r="Y1426" t="s">
        <v>43</v>
      </c>
      <c r="Z1426" t="s">
        <v>43</v>
      </c>
      <c r="AA1426" t="s">
        <v>43</v>
      </c>
      <c r="AB1426" s="2" t="s">
        <v>43</v>
      </c>
      <c r="AC1426" t="s">
        <v>46</v>
      </c>
      <c r="AD1426" t="s">
        <v>64</v>
      </c>
      <c r="AE1426" t="s">
        <v>46</v>
      </c>
      <c r="AF1426" t="s">
        <v>46</v>
      </c>
      <c r="AG1426" t="s">
        <v>64</v>
      </c>
      <c r="AH1426" s="2" t="s">
        <v>43</v>
      </c>
    </row>
    <row r="1427" spans="1:34" ht="120">
      <c r="A1427" s="6" t="s">
        <v>338</v>
      </c>
      <c r="B1427" s="7">
        <v>46027</v>
      </c>
      <c r="C1427" s="9" t="str">
        <f>HYPERLINK("https://eping.wto.org/en/Search?viewData= G/SPS/N/SAU/610"," G/SPS/N/SAU/610")</f>
        <v xml:space="preserve"> G/SPS/N/SAU/610</v>
      </c>
      <c r="D1427" s="8" t="s">
        <v>5502</v>
      </c>
      <c r="E1427" s="8" t="s">
        <v>5503</v>
      </c>
      <c r="F1427" s="8" t="s">
        <v>5504</v>
      </c>
      <c r="G1427" s="8" t="s">
        <v>5505</v>
      </c>
      <c r="H1427" s="8" t="s">
        <v>43</v>
      </c>
      <c r="I1427" s="8" t="s">
        <v>361</v>
      </c>
      <c r="J1427" s="8" t="s">
        <v>43</v>
      </c>
      <c r="K1427" s="8" t="s">
        <v>5506</v>
      </c>
      <c r="L1427" s="6" t="s">
        <v>3144</v>
      </c>
      <c r="M1427" s="7" t="s">
        <v>43</v>
      </c>
      <c r="N1427" s="7"/>
      <c r="O1427" s="7">
        <v>46019</v>
      </c>
      <c r="P1427" s="6" t="s">
        <v>107</v>
      </c>
      <c r="Q1427" s="8" t="s">
        <v>5507</v>
      </c>
      <c r="R1427" t="str">
        <f>HYPERLINK("https://docs.wto.org/imrd/directdoc.asp?DDFDocuments/t/G/SPS/NSAU610.docx", "https://docs.wto.org/imrd/directdoc.asp?DDFDocuments/t/G/SPS/NSAU610.docx")</f>
        <v>https://docs.wto.org/imrd/directdoc.asp?DDFDocuments/t/G/SPS/NSAU610.docx</v>
      </c>
      <c r="S1427" t="str">
        <f>HYPERLINK("https://docs.wto.org/imrd/directdoc.asp?DDFDocuments/u/G/SPS/NSAU610.docx", "https://docs.wto.org/imrd/directdoc.asp?DDFDocuments/u/G/SPS/NSAU610.docx")</f>
        <v>https://docs.wto.org/imrd/directdoc.asp?DDFDocuments/u/G/SPS/NSAU610.docx</v>
      </c>
      <c r="T1427" t="str">
        <f>HYPERLINK("https://docs.wto.org/imrd/directdoc.asp?DDFDocuments/v/G/SPS/NSAU610.docx", "https://docs.wto.org/imrd/directdoc.asp?DDFDocuments/v/G/SPS/NSAU610.docx")</f>
        <v>https://docs.wto.org/imrd/directdoc.asp?DDFDocuments/v/G/SPS/NSAU610.docx</v>
      </c>
      <c r="U1427" t="s">
        <v>43</v>
      </c>
      <c r="V1427" t="s">
        <v>43</v>
      </c>
      <c r="W1427" t="s">
        <v>43</v>
      </c>
      <c r="X1427" t="s">
        <v>43</v>
      </c>
      <c r="Y1427" t="s">
        <v>43</v>
      </c>
      <c r="Z1427" t="s">
        <v>43</v>
      </c>
      <c r="AA1427" t="s">
        <v>43</v>
      </c>
      <c r="AB1427" s="2" t="s">
        <v>43</v>
      </c>
      <c r="AC1427" t="s">
        <v>46</v>
      </c>
      <c r="AD1427" t="s">
        <v>64</v>
      </c>
      <c r="AE1427" t="s">
        <v>46</v>
      </c>
      <c r="AF1427" t="s">
        <v>46</v>
      </c>
      <c r="AG1427" t="s">
        <v>64</v>
      </c>
      <c r="AH1427" s="2" t="s">
        <v>43</v>
      </c>
    </row>
    <row r="1428" spans="1:34" ht="60">
      <c r="A1428" s="6" t="s">
        <v>146</v>
      </c>
      <c r="B1428" s="7">
        <v>46027</v>
      </c>
      <c r="C1428" s="9" t="str">
        <f>HYPERLINK("https://eping.wto.org/en/Search?viewData= G/TBT/N/CHL/771"," G/TBT/N/CHL/771")</f>
        <v xml:space="preserve"> G/TBT/N/CHL/771</v>
      </c>
      <c r="D1428" s="8" t="s">
        <v>5508</v>
      </c>
      <c r="E1428" s="8" t="s">
        <v>5509</v>
      </c>
      <c r="F1428" s="8" t="s">
        <v>5510</v>
      </c>
      <c r="G1428" s="8" t="s">
        <v>43</v>
      </c>
      <c r="H1428" s="8" t="s">
        <v>5511</v>
      </c>
      <c r="I1428" s="8" t="s">
        <v>129</v>
      </c>
      <c r="J1428" s="8" t="s">
        <v>43</v>
      </c>
      <c r="K1428" s="8" t="s">
        <v>43</v>
      </c>
      <c r="L1428" s="6"/>
      <c r="M1428" s="7">
        <v>46087</v>
      </c>
      <c r="N1428" s="7" t="s">
        <v>877</v>
      </c>
      <c r="O1428" s="7" t="s">
        <v>877</v>
      </c>
      <c r="P1428" s="6" t="s">
        <v>62</v>
      </c>
      <c r="Q1428" s="8" t="s">
        <v>5488</v>
      </c>
      <c r="R1428" t="str">
        <f>HYPERLINK("https://docs.wto.org/imrd/directdoc.asp?DDFDocuments/t/G/TBTN26/CHL771.docx", "https://docs.wto.org/imrd/directdoc.asp?DDFDocuments/t/G/TBTN26/CHL771.docx")</f>
        <v>https://docs.wto.org/imrd/directdoc.asp?DDFDocuments/t/G/TBTN26/CHL771.docx</v>
      </c>
      <c r="S1428" t="str">
        <f>HYPERLINK("https://docs.wto.org/imrd/directdoc.asp?DDFDocuments/u/G/TBTN26/CHL771.docx", "https://docs.wto.org/imrd/directdoc.asp?DDFDocuments/u/G/TBTN26/CHL771.docx")</f>
        <v>https://docs.wto.org/imrd/directdoc.asp?DDFDocuments/u/G/TBTN26/CHL771.docx</v>
      </c>
      <c r="T1428" t="str">
        <f>HYPERLINK("https://docs.wto.org/imrd/directdoc.asp?DDFDocuments/v/G/TBTN26/CHL771.docx", "https://docs.wto.org/imrd/directdoc.asp?DDFDocuments/v/G/TBTN26/CHL771.docx")</f>
        <v>https://docs.wto.org/imrd/directdoc.asp?DDFDocuments/v/G/TBTN26/CHL771.docx</v>
      </c>
      <c r="U1428" t="s">
        <v>64</v>
      </c>
      <c r="V1428" t="s">
        <v>46</v>
      </c>
      <c r="W1428" t="s">
        <v>46</v>
      </c>
      <c r="X1428" t="s">
        <v>46</v>
      </c>
      <c r="Y1428" t="s">
        <v>46</v>
      </c>
      <c r="Z1428" t="s">
        <v>46</v>
      </c>
      <c r="AA1428" t="s">
        <v>46</v>
      </c>
      <c r="AB1428" s="2" t="s">
        <v>5489</v>
      </c>
      <c r="AC1428" t="s">
        <v>43</v>
      </c>
      <c r="AD1428" t="s">
        <v>43</v>
      </c>
      <c r="AE1428" t="s">
        <v>43</v>
      </c>
      <c r="AF1428" t="s">
        <v>43</v>
      </c>
      <c r="AG1428" t="s">
        <v>43</v>
      </c>
      <c r="AH1428" s="2" t="s">
        <v>43</v>
      </c>
    </row>
    <row r="1429" spans="1:34" ht="105">
      <c r="A1429" s="6" t="s">
        <v>96</v>
      </c>
      <c r="B1429" s="7">
        <v>46027</v>
      </c>
      <c r="C1429" s="9" t="str">
        <f>HYPERLINK("https://eping.wto.org/en/Search?viewData= G/TBT/N/ISR/1407/Add.1"," G/TBT/N/ISR/1407/Add.1")</f>
        <v xml:space="preserve"> G/TBT/N/ISR/1407/Add.1</v>
      </c>
      <c r="D1429" s="8" t="s">
        <v>5512</v>
      </c>
      <c r="E1429" s="8" t="s">
        <v>5513</v>
      </c>
      <c r="F1429" s="8" t="s">
        <v>5514</v>
      </c>
      <c r="G1429" s="8" t="s">
        <v>43</v>
      </c>
      <c r="H1429" s="8" t="s">
        <v>5515</v>
      </c>
      <c r="I1429" s="8" t="s">
        <v>2239</v>
      </c>
      <c r="J1429" s="8" t="s">
        <v>43</v>
      </c>
      <c r="K1429" s="8" t="s">
        <v>5516</v>
      </c>
      <c r="L1429" s="6"/>
      <c r="M1429" s="7" t="s">
        <v>43</v>
      </c>
      <c r="N1429" s="7"/>
      <c r="O1429" s="7"/>
      <c r="P1429" s="6" t="s">
        <v>44</v>
      </c>
      <c r="Q1429" s="8" t="s">
        <v>5517</v>
      </c>
      <c r="R1429" t="str">
        <f>HYPERLINK("https://docs.wto.org/imrd/directdoc.asp?DDFDocuments/t/G/TBTN25/ISR1407A1.docx", "https://docs.wto.org/imrd/directdoc.asp?DDFDocuments/t/G/TBTN25/ISR1407A1.docx")</f>
        <v>https://docs.wto.org/imrd/directdoc.asp?DDFDocuments/t/G/TBTN25/ISR1407A1.docx</v>
      </c>
      <c r="S1429" t="str">
        <f>HYPERLINK("https://docs.wto.org/imrd/directdoc.asp?DDFDocuments/u/G/TBTN25/ISR1407A1.docx", "https://docs.wto.org/imrd/directdoc.asp?DDFDocuments/u/G/TBTN25/ISR1407A1.docx")</f>
        <v>https://docs.wto.org/imrd/directdoc.asp?DDFDocuments/u/G/TBTN25/ISR1407A1.docx</v>
      </c>
      <c r="T1429" t="str">
        <f>HYPERLINK("https://docs.wto.org/imrd/directdoc.asp?DDFDocuments/v/G/TBTN25/ISR1407A1.docx", "https://docs.wto.org/imrd/directdoc.asp?DDFDocuments/v/G/TBTN25/ISR1407A1.docx")</f>
        <v>https://docs.wto.org/imrd/directdoc.asp?DDFDocuments/v/G/TBTN25/ISR1407A1.docx</v>
      </c>
      <c r="U1429" t="s">
        <v>46</v>
      </c>
      <c r="V1429" t="s">
        <v>46</v>
      </c>
      <c r="W1429" t="s">
        <v>46</v>
      </c>
      <c r="X1429" t="s">
        <v>46</v>
      </c>
      <c r="Y1429" t="s">
        <v>46</v>
      </c>
      <c r="Z1429" t="s">
        <v>46</v>
      </c>
      <c r="AA1429" t="s">
        <v>46</v>
      </c>
      <c r="AB1429" s="2" t="s">
        <v>43</v>
      </c>
      <c r="AC1429" t="s">
        <v>43</v>
      </c>
      <c r="AD1429" t="s">
        <v>43</v>
      </c>
      <c r="AE1429" t="s">
        <v>43</v>
      </c>
      <c r="AF1429" t="s">
        <v>43</v>
      </c>
      <c r="AG1429" t="s">
        <v>43</v>
      </c>
      <c r="AH1429" s="2" t="s">
        <v>43</v>
      </c>
    </row>
    <row r="1430" spans="1:34" ht="285">
      <c r="A1430" s="6" t="s">
        <v>132</v>
      </c>
      <c r="B1430" s="7">
        <v>46027</v>
      </c>
      <c r="C1430" s="9" t="str">
        <f>HYPERLINK("https://eping.wto.org/en/Search?viewData= G/TBT/N/USA/1636/Add.1"," G/TBT/N/USA/1636/Add.1")</f>
        <v xml:space="preserve"> G/TBT/N/USA/1636/Add.1</v>
      </c>
      <c r="D1430" s="8" t="s">
        <v>5518</v>
      </c>
      <c r="E1430" s="8" t="s">
        <v>5519</v>
      </c>
      <c r="F1430" s="8" t="s">
        <v>5520</v>
      </c>
      <c r="G1430" s="8" t="s">
        <v>5521</v>
      </c>
      <c r="H1430" s="8" t="s">
        <v>5522</v>
      </c>
      <c r="I1430" s="8" t="s">
        <v>2292</v>
      </c>
      <c r="J1430" s="8" t="s">
        <v>43</v>
      </c>
      <c r="K1430" s="8" t="s">
        <v>43</v>
      </c>
      <c r="L1430" s="6"/>
      <c r="M1430" s="7">
        <v>46058</v>
      </c>
      <c r="N1430" s="7"/>
      <c r="O1430" s="7"/>
      <c r="P1430" s="6" t="s">
        <v>44</v>
      </c>
      <c r="Q1430" s="6"/>
      <c r="R1430" t="str">
        <f>HYPERLINK("https://docs.wto.org/imrd/directdoc.asp?DDFDocuments/t/G/TBTN20/USA1636A1.docx", "https://docs.wto.org/imrd/directdoc.asp?DDFDocuments/t/G/TBTN20/USA1636A1.docx")</f>
        <v>https://docs.wto.org/imrd/directdoc.asp?DDFDocuments/t/G/TBTN20/USA1636A1.docx</v>
      </c>
      <c r="S1430" t="str">
        <f>HYPERLINK("https://docs.wto.org/imrd/directdoc.asp?DDFDocuments/u/G/TBTN20/USA1636A1.docx", "https://docs.wto.org/imrd/directdoc.asp?DDFDocuments/u/G/TBTN20/USA1636A1.docx")</f>
        <v>https://docs.wto.org/imrd/directdoc.asp?DDFDocuments/u/G/TBTN20/USA1636A1.docx</v>
      </c>
      <c r="T1430" t="str">
        <f>HYPERLINK("https://docs.wto.org/imrd/directdoc.asp?DDFDocuments/v/G/TBTN20/USA1636A1.docx", "https://docs.wto.org/imrd/directdoc.asp?DDFDocuments/v/G/TBTN20/USA1636A1.docx")</f>
        <v>https://docs.wto.org/imrd/directdoc.asp?DDFDocuments/v/G/TBTN20/USA1636A1.docx</v>
      </c>
      <c r="U1430" t="s">
        <v>64</v>
      </c>
      <c r="V1430" t="s">
        <v>46</v>
      </c>
      <c r="W1430" t="s">
        <v>46</v>
      </c>
      <c r="X1430" t="s">
        <v>46</v>
      </c>
      <c r="Y1430" t="s">
        <v>46</v>
      </c>
      <c r="Z1430" t="s">
        <v>46</v>
      </c>
      <c r="AA1430" t="s">
        <v>46</v>
      </c>
      <c r="AB1430" s="2" t="s">
        <v>43</v>
      </c>
      <c r="AC1430" t="s">
        <v>43</v>
      </c>
      <c r="AD1430" t="s">
        <v>43</v>
      </c>
      <c r="AE1430" t="s">
        <v>43</v>
      </c>
      <c r="AF1430" t="s">
        <v>43</v>
      </c>
      <c r="AG1430" t="s">
        <v>43</v>
      </c>
      <c r="AH1430" s="2" t="s">
        <v>43</v>
      </c>
    </row>
    <row r="1431" spans="1:34" ht="45">
      <c r="A1431" s="6" t="s">
        <v>209</v>
      </c>
      <c r="B1431" s="7">
        <v>46027</v>
      </c>
      <c r="C1431" s="9" t="str">
        <f>HYPERLINK("https://eping.wto.org/en/Search?viewData= G/TBT/N/RUS/180"," G/TBT/N/RUS/180")</f>
        <v xml:space="preserve"> G/TBT/N/RUS/180</v>
      </c>
      <c r="D1431" s="8" t="s">
        <v>5523</v>
      </c>
      <c r="E1431" s="8" t="s">
        <v>5524</v>
      </c>
      <c r="F1431" s="8" t="s">
        <v>5525</v>
      </c>
      <c r="G1431" s="8" t="s">
        <v>43</v>
      </c>
      <c r="H1431" s="8" t="s">
        <v>5526</v>
      </c>
      <c r="I1431" s="8" t="s">
        <v>5527</v>
      </c>
      <c r="J1431" s="8" t="s">
        <v>5528</v>
      </c>
      <c r="K1431" s="8" t="s">
        <v>43</v>
      </c>
      <c r="L1431" s="6"/>
      <c r="M1431" s="7">
        <v>46094</v>
      </c>
      <c r="N1431" s="7" t="s">
        <v>79</v>
      </c>
      <c r="O1431" s="7" t="s">
        <v>79</v>
      </c>
      <c r="P1431" s="6" t="s">
        <v>62</v>
      </c>
      <c r="Q1431" s="6"/>
      <c r="R1431" t="str">
        <f>HYPERLINK("https://docs.wto.org/imrd/directdoc.asp?DDFDocuments/t/G/TBTN26/RUS180.docx", "https://docs.wto.org/imrd/directdoc.asp?DDFDocuments/t/G/TBTN26/RUS180.docx")</f>
        <v>https://docs.wto.org/imrd/directdoc.asp?DDFDocuments/t/G/TBTN26/RUS180.docx</v>
      </c>
      <c r="S1431" t="str">
        <f>HYPERLINK("https://docs.wto.org/imrd/directdoc.asp?DDFDocuments/u/G/TBTN26/RUS180.docx", "https://docs.wto.org/imrd/directdoc.asp?DDFDocuments/u/G/TBTN26/RUS180.docx")</f>
        <v>https://docs.wto.org/imrd/directdoc.asp?DDFDocuments/u/G/TBTN26/RUS180.docx</v>
      </c>
      <c r="T1431" t="str">
        <f>HYPERLINK("https://docs.wto.org/imrd/directdoc.asp?DDFDocuments/v/G/TBTN26/RUS180.docx", "https://docs.wto.org/imrd/directdoc.asp?DDFDocuments/v/G/TBTN26/RUS180.docx")</f>
        <v>https://docs.wto.org/imrd/directdoc.asp?DDFDocuments/v/G/TBTN26/RUS180.docx</v>
      </c>
      <c r="U1431" t="s">
        <v>64</v>
      </c>
      <c r="V1431" t="s">
        <v>46</v>
      </c>
      <c r="W1431" t="s">
        <v>46</v>
      </c>
      <c r="X1431" t="s">
        <v>46</v>
      </c>
      <c r="Y1431" t="s">
        <v>46</v>
      </c>
      <c r="Z1431" t="s">
        <v>46</v>
      </c>
      <c r="AA1431" t="s">
        <v>46</v>
      </c>
      <c r="AB1431" s="2" t="s">
        <v>5529</v>
      </c>
      <c r="AC1431" t="s">
        <v>43</v>
      </c>
      <c r="AD1431" t="s">
        <v>43</v>
      </c>
      <c r="AE1431" t="s">
        <v>43</v>
      </c>
      <c r="AF1431" t="s">
        <v>43</v>
      </c>
      <c r="AG1431" t="s">
        <v>43</v>
      </c>
      <c r="AH1431" s="2" t="s">
        <v>43</v>
      </c>
    </row>
    <row r="1432" spans="1:34" ht="135">
      <c r="A1432" s="6" t="s">
        <v>158</v>
      </c>
      <c r="B1432" s="7">
        <v>46027</v>
      </c>
      <c r="C1432" s="9" t="str">
        <f>HYPERLINK("https://eping.wto.org/en/Search?viewData= G/TBT/N/UKR/365"," G/TBT/N/UKR/365")</f>
        <v xml:space="preserve"> G/TBT/N/UKR/365</v>
      </c>
      <c r="D1432" s="8" t="s">
        <v>5530</v>
      </c>
      <c r="E1432" s="8" t="s">
        <v>5531</v>
      </c>
      <c r="F1432" s="8" t="s">
        <v>5532</v>
      </c>
      <c r="G1432" s="8" t="s">
        <v>43</v>
      </c>
      <c r="H1432" s="8" t="s">
        <v>1573</v>
      </c>
      <c r="I1432" s="8" t="s">
        <v>137</v>
      </c>
      <c r="J1432" s="8" t="s">
        <v>43</v>
      </c>
      <c r="K1432" s="8" t="s">
        <v>43</v>
      </c>
      <c r="L1432" s="6"/>
      <c r="M1432" s="7">
        <v>46087</v>
      </c>
      <c r="N1432" s="7">
        <v>45964</v>
      </c>
      <c r="O1432" s="7">
        <v>46007</v>
      </c>
      <c r="P1432" s="6" t="s">
        <v>62</v>
      </c>
      <c r="Q1432" s="8" t="s">
        <v>5533</v>
      </c>
      <c r="R1432" t="str">
        <f>HYPERLINK("https://docs.wto.org/imrd/directdoc.asp?DDFDocuments/t/G/TBTN26/UKR365.docx", "https://docs.wto.org/imrd/directdoc.asp?DDFDocuments/t/G/TBTN26/UKR365.docx")</f>
        <v>https://docs.wto.org/imrd/directdoc.asp?DDFDocuments/t/G/TBTN26/UKR365.docx</v>
      </c>
      <c r="S1432" t="str">
        <f>HYPERLINK("https://docs.wto.org/imrd/directdoc.asp?DDFDocuments/u/G/TBTN26/UKR365.docx", "https://docs.wto.org/imrd/directdoc.asp?DDFDocuments/u/G/TBTN26/UKR365.docx")</f>
        <v>https://docs.wto.org/imrd/directdoc.asp?DDFDocuments/u/G/TBTN26/UKR365.docx</v>
      </c>
      <c r="T1432" t="str">
        <f>HYPERLINK("https://docs.wto.org/imrd/directdoc.asp?DDFDocuments/v/G/TBTN26/UKR365.docx", "https://docs.wto.org/imrd/directdoc.asp?DDFDocuments/v/G/TBTN26/UKR365.docx")</f>
        <v>https://docs.wto.org/imrd/directdoc.asp?DDFDocuments/v/G/TBTN26/UKR365.docx</v>
      </c>
      <c r="U1432" t="s">
        <v>64</v>
      </c>
      <c r="V1432" t="s">
        <v>46</v>
      </c>
      <c r="W1432" t="s">
        <v>64</v>
      </c>
      <c r="X1432" t="s">
        <v>46</v>
      </c>
      <c r="Y1432" t="s">
        <v>46</v>
      </c>
      <c r="Z1432" t="s">
        <v>46</v>
      </c>
      <c r="AA1432" t="s">
        <v>46</v>
      </c>
      <c r="AB1432" s="2" t="s">
        <v>5534</v>
      </c>
      <c r="AC1432" t="s">
        <v>43</v>
      </c>
      <c r="AD1432" t="s">
        <v>43</v>
      </c>
      <c r="AE1432" t="s">
        <v>43</v>
      </c>
      <c r="AF1432" t="s">
        <v>43</v>
      </c>
      <c r="AG1432" t="s">
        <v>43</v>
      </c>
      <c r="AH1432" s="2" t="s">
        <v>43</v>
      </c>
    </row>
    <row r="1433" spans="1:34">
      <c r="A1433" s="6" t="s">
        <v>289</v>
      </c>
      <c r="B1433" s="7">
        <v>46027</v>
      </c>
      <c r="C1433" s="9" t="str">
        <f>HYPERLINK("https://eping.wto.org/en/Search?viewData= G/TBT/N/BRA/933/Add.1"," G/TBT/N/BRA/933/Add.1")</f>
        <v xml:space="preserve"> G/TBT/N/BRA/933/Add.1</v>
      </c>
      <c r="D1433" s="8" t="s">
        <v>5535</v>
      </c>
      <c r="E1433" s="8" t="s">
        <v>43</v>
      </c>
      <c r="F1433" s="8" t="s">
        <v>5536</v>
      </c>
      <c r="G1433" s="8" t="s">
        <v>43</v>
      </c>
      <c r="H1433" s="8" t="s">
        <v>5537</v>
      </c>
      <c r="I1433" s="8" t="s">
        <v>1246</v>
      </c>
      <c r="J1433" s="8" t="s">
        <v>5538</v>
      </c>
      <c r="K1433" s="8" t="s">
        <v>43</v>
      </c>
      <c r="L1433" s="6"/>
      <c r="M1433" s="7">
        <v>46084</v>
      </c>
      <c r="N1433" s="7"/>
      <c r="O1433" s="7"/>
      <c r="P1433" s="6" t="s">
        <v>44</v>
      </c>
      <c r="Q1433" s="8" t="s">
        <v>5539</v>
      </c>
      <c r="R1433" t="str">
        <f>HYPERLINK("https://docs.wto.org/imrd/directdoc.asp?DDFDocuments/t/G/TBTN19/BRA933A1.docx", "https://docs.wto.org/imrd/directdoc.asp?DDFDocuments/t/G/TBTN19/BRA933A1.docx")</f>
        <v>https://docs.wto.org/imrd/directdoc.asp?DDFDocuments/t/G/TBTN19/BRA933A1.docx</v>
      </c>
      <c r="S1433" t="str">
        <f>HYPERLINK("https://docs.wto.org/imrd/directdoc.asp?DDFDocuments/u/G/TBTN19/BRA933A1.docx", "https://docs.wto.org/imrd/directdoc.asp?DDFDocuments/u/G/TBTN19/BRA933A1.docx")</f>
        <v>https://docs.wto.org/imrd/directdoc.asp?DDFDocuments/u/G/TBTN19/BRA933A1.docx</v>
      </c>
      <c r="T1433" t="str">
        <f>HYPERLINK("https://docs.wto.org/imrd/directdoc.asp?DDFDocuments/v/G/TBTN19/BRA933A1.docx", "https://docs.wto.org/imrd/directdoc.asp?DDFDocuments/v/G/TBTN19/BRA933A1.docx")</f>
        <v>https://docs.wto.org/imrd/directdoc.asp?DDFDocuments/v/G/TBTN19/BRA933A1.docx</v>
      </c>
      <c r="U1433" t="s">
        <v>64</v>
      </c>
      <c r="V1433" t="s">
        <v>46</v>
      </c>
      <c r="W1433" t="s">
        <v>46</v>
      </c>
      <c r="X1433" t="s">
        <v>46</v>
      </c>
      <c r="Y1433" t="s">
        <v>46</v>
      </c>
      <c r="Z1433" t="s">
        <v>46</v>
      </c>
      <c r="AA1433" t="s">
        <v>46</v>
      </c>
      <c r="AB1433" s="2" t="s">
        <v>43</v>
      </c>
      <c r="AC1433" t="s">
        <v>43</v>
      </c>
      <c r="AD1433" t="s">
        <v>43</v>
      </c>
      <c r="AE1433" t="s">
        <v>43</v>
      </c>
      <c r="AF1433" t="s">
        <v>43</v>
      </c>
      <c r="AG1433" t="s">
        <v>43</v>
      </c>
      <c r="AH1433" s="2" t="s">
        <v>43</v>
      </c>
    </row>
    <row r="1434" spans="1:34" ht="180">
      <c r="A1434" s="6" t="s">
        <v>54</v>
      </c>
      <c r="B1434" s="7">
        <v>46027</v>
      </c>
      <c r="C1434" s="9" t="str">
        <f>HYPERLINK("https://eping.wto.org/en/Search?viewData= G/SPS/N/AUS/627"," G/SPS/N/AUS/627")</f>
        <v xml:space="preserve"> G/SPS/N/AUS/627</v>
      </c>
      <c r="D1434" s="8" t="s">
        <v>5540</v>
      </c>
      <c r="E1434" s="8" t="s">
        <v>5541</v>
      </c>
      <c r="F1434" s="8" t="s">
        <v>57</v>
      </c>
      <c r="G1434" s="8" t="s">
        <v>43</v>
      </c>
      <c r="H1434" s="8" t="s">
        <v>43</v>
      </c>
      <c r="I1434" s="8" t="s">
        <v>58</v>
      </c>
      <c r="J1434" s="8" t="s">
        <v>43</v>
      </c>
      <c r="K1434" s="8" t="s">
        <v>1444</v>
      </c>
      <c r="L1434" s="6" t="s">
        <v>43</v>
      </c>
      <c r="M1434" s="7">
        <v>46080</v>
      </c>
      <c r="N1434" s="7" t="s">
        <v>5542</v>
      </c>
      <c r="O1434" s="7" t="s">
        <v>5543</v>
      </c>
      <c r="P1434" s="6" t="s">
        <v>62</v>
      </c>
      <c r="Q1434" s="8" t="s">
        <v>5544</v>
      </c>
      <c r="R1434" t="str">
        <f>HYPERLINK("https://docs.wto.org/imrd/directdoc.asp?DDFDocuments/t/G/SPS/NAUS627.docx", "https://docs.wto.org/imrd/directdoc.asp?DDFDocuments/t/G/SPS/NAUS627.docx")</f>
        <v>https://docs.wto.org/imrd/directdoc.asp?DDFDocuments/t/G/SPS/NAUS627.docx</v>
      </c>
      <c r="S1434" t="str">
        <f>HYPERLINK("https://docs.wto.org/imrd/directdoc.asp?DDFDocuments/u/G/SPS/NAUS627.docx", "https://docs.wto.org/imrd/directdoc.asp?DDFDocuments/u/G/SPS/NAUS627.docx")</f>
        <v>https://docs.wto.org/imrd/directdoc.asp?DDFDocuments/u/G/SPS/NAUS627.docx</v>
      </c>
      <c r="T1434" t="str">
        <f>HYPERLINK("https://docs.wto.org/imrd/directdoc.asp?DDFDocuments/v/G/SPS/NAUS627.docx", "https://docs.wto.org/imrd/directdoc.asp?DDFDocuments/v/G/SPS/NAUS627.docx")</f>
        <v>https://docs.wto.org/imrd/directdoc.asp?DDFDocuments/v/G/SPS/NAUS627.docx</v>
      </c>
      <c r="U1434" t="s">
        <v>43</v>
      </c>
      <c r="V1434" t="s">
        <v>43</v>
      </c>
      <c r="W1434" t="s">
        <v>43</v>
      </c>
      <c r="X1434" t="s">
        <v>43</v>
      </c>
      <c r="Y1434" t="s">
        <v>43</v>
      </c>
      <c r="Z1434" t="s">
        <v>43</v>
      </c>
      <c r="AA1434" t="s">
        <v>43</v>
      </c>
      <c r="AB1434" s="2" t="s">
        <v>43</v>
      </c>
      <c r="AC1434" t="s">
        <v>64</v>
      </c>
      <c r="AD1434" t="s">
        <v>46</v>
      </c>
      <c r="AE1434" t="s">
        <v>46</v>
      </c>
      <c r="AF1434" t="s">
        <v>46</v>
      </c>
      <c r="AG1434" t="s">
        <v>46</v>
      </c>
      <c r="AH1434" s="2" t="s">
        <v>5545</v>
      </c>
    </row>
    <row r="1435" spans="1:34" ht="409.5">
      <c r="A1435" s="6" t="s">
        <v>47</v>
      </c>
      <c r="B1435" s="7">
        <v>46027</v>
      </c>
      <c r="C1435" s="9" t="str">
        <f>HYPERLINK("https://eping.wto.org/en/Search?viewData= G/TBT/N/CAN/765"," G/TBT/N/CAN/765")</f>
        <v xml:space="preserve"> G/TBT/N/CAN/765</v>
      </c>
      <c r="D1435" s="8" t="s">
        <v>1774</v>
      </c>
      <c r="E1435" s="8" t="s">
        <v>5546</v>
      </c>
      <c r="F1435" s="8" t="s">
        <v>857</v>
      </c>
      <c r="G1435" s="8" t="s">
        <v>43</v>
      </c>
      <c r="H1435" s="8" t="s">
        <v>1427</v>
      </c>
      <c r="I1435" s="8" t="s">
        <v>52</v>
      </c>
      <c r="J1435" s="8" t="s">
        <v>1776</v>
      </c>
      <c r="K1435" s="8" t="s">
        <v>350</v>
      </c>
      <c r="L1435" s="6"/>
      <c r="M1435" s="7">
        <v>46071</v>
      </c>
      <c r="N1435" s="7" t="s">
        <v>79</v>
      </c>
      <c r="O1435" s="7" t="s">
        <v>5547</v>
      </c>
      <c r="P1435" s="6" t="s">
        <v>62</v>
      </c>
      <c r="Q1435" s="8" t="s">
        <v>5548</v>
      </c>
      <c r="R1435" t="str">
        <f>HYPERLINK("https://docs.wto.org/imrd/directdoc.asp?DDFDocuments/t/G/TBTN26/CAN765.docx", "https://docs.wto.org/imrd/directdoc.asp?DDFDocuments/t/G/TBTN26/CAN765.docx")</f>
        <v>https://docs.wto.org/imrd/directdoc.asp?DDFDocuments/t/G/TBTN26/CAN765.docx</v>
      </c>
      <c r="S1435" t="str">
        <f>HYPERLINK("https://docs.wto.org/imrd/directdoc.asp?DDFDocuments/u/G/TBTN26/CAN765.docx", "https://docs.wto.org/imrd/directdoc.asp?DDFDocuments/u/G/TBTN26/CAN765.docx")</f>
        <v>https://docs.wto.org/imrd/directdoc.asp?DDFDocuments/u/G/TBTN26/CAN765.docx</v>
      </c>
      <c r="T1435" t="str">
        <f>HYPERLINK("https://docs.wto.org/imrd/directdoc.asp?DDFDocuments/v/G/TBTN26/CAN765.docx", "https://docs.wto.org/imrd/directdoc.asp?DDFDocuments/v/G/TBTN26/CAN765.docx")</f>
        <v>https://docs.wto.org/imrd/directdoc.asp?DDFDocuments/v/G/TBTN26/CAN765.docx</v>
      </c>
      <c r="U1435" t="s">
        <v>64</v>
      </c>
      <c r="V1435" t="s">
        <v>46</v>
      </c>
      <c r="W1435" t="s">
        <v>46</v>
      </c>
      <c r="X1435" t="s">
        <v>46</v>
      </c>
      <c r="Y1435" t="s">
        <v>46</v>
      </c>
      <c r="Z1435" t="s">
        <v>46</v>
      </c>
      <c r="AA1435" t="s">
        <v>46</v>
      </c>
      <c r="AB1435" s="2" t="s">
        <v>5549</v>
      </c>
      <c r="AC1435" t="s">
        <v>43</v>
      </c>
      <c r="AD1435" t="s">
        <v>43</v>
      </c>
      <c r="AE1435" t="s">
        <v>43</v>
      </c>
      <c r="AF1435" t="s">
        <v>43</v>
      </c>
      <c r="AG1435" t="s">
        <v>43</v>
      </c>
      <c r="AH1435" s="2" t="s">
        <v>43</v>
      </c>
    </row>
    <row r="1436" spans="1:34" ht="120">
      <c r="A1436" s="6" t="s">
        <v>54</v>
      </c>
      <c r="B1436" s="7">
        <v>46027</v>
      </c>
      <c r="C1436" s="9" t="str">
        <f>HYPERLINK("https://eping.wto.org/en/Search?viewData= G/SPS/N/AUS/628"," G/SPS/N/AUS/628")</f>
        <v xml:space="preserve"> G/SPS/N/AUS/628</v>
      </c>
      <c r="D1436" s="8" t="s">
        <v>5550</v>
      </c>
      <c r="E1436" s="8" t="s">
        <v>5551</v>
      </c>
      <c r="F1436" s="8" t="s">
        <v>491</v>
      </c>
      <c r="G1436" s="8" t="s">
        <v>5552</v>
      </c>
      <c r="H1436" s="8" t="s">
        <v>43</v>
      </c>
      <c r="I1436" s="8" t="s">
        <v>529</v>
      </c>
      <c r="J1436" s="8" t="s">
        <v>43</v>
      </c>
      <c r="K1436" s="8" t="s">
        <v>493</v>
      </c>
      <c r="L1436" s="6" t="s">
        <v>43</v>
      </c>
      <c r="M1436" s="7" t="s">
        <v>43</v>
      </c>
      <c r="N1436" s="7">
        <v>46083</v>
      </c>
      <c r="O1436" s="7">
        <v>46083</v>
      </c>
      <c r="P1436" s="6" t="s">
        <v>62</v>
      </c>
      <c r="Q1436" s="8" t="s">
        <v>5553</v>
      </c>
      <c r="R1436" t="str">
        <f>HYPERLINK("https://docs.wto.org/imrd/directdoc.asp?DDFDocuments/t/G/SPS/NAUS628.docx", "https://docs.wto.org/imrd/directdoc.asp?DDFDocuments/t/G/SPS/NAUS628.docx")</f>
        <v>https://docs.wto.org/imrd/directdoc.asp?DDFDocuments/t/G/SPS/NAUS628.docx</v>
      </c>
      <c r="S1436" t="str">
        <f>HYPERLINK("https://docs.wto.org/imrd/directdoc.asp?DDFDocuments/u/G/SPS/NAUS628.docx", "https://docs.wto.org/imrd/directdoc.asp?DDFDocuments/u/G/SPS/NAUS628.docx")</f>
        <v>https://docs.wto.org/imrd/directdoc.asp?DDFDocuments/u/G/SPS/NAUS628.docx</v>
      </c>
      <c r="T1436" t="str">
        <f>HYPERLINK("https://docs.wto.org/imrd/directdoc.asp?DDFDocuments/v/G/SPS/NAUS628.docx", "https://docs.wto.org/imrd/directdoc.asp?DDFDocuments/v/G/SPS/NAUS628.docx")</f>
        <v>https://docs.wto.org/imrd/directdoc.asp?DDFDocuments/v/G/SPS/NAUS628.docx</v>
      </c>
      <c r="U1436" t="s">
        <v>43</v>
      </c>
      <c r="V1436" t="s">
        <v>43</v>
      </c>
      <c r="W1436" t="s">
        <v>43</v>
      </c>
      <c r="X1436" t="s">
        <v>43</v>
      </c>
      <c r="Y1436" t="s">
        <v>43</v>
      </c>
      <c r="Z1436" t="s">
        <v>43</v>
      </c>
      <c r="AA1436" t="s">
        <v>43</v>
      </c>
      <c r="AB1436" s="2" t="s">
        <v>43</v>
      </c>
      <c r="AC1436" t="s">
        <v>46</v>
      </c>
      <c r="AD1436" t="s">
        <v>46</v>
      </c>
      <c r="AE1436" t="s">
        <v>46</v>
      </c>
      <c r="AF1436" t="s">
        <v>64</v>
      </c>
      <c r="AG1436" t="s">
        <v>99</v>
      </c>
      <c r="AH1436" s="2" t="s">
        <v>43</v>
      </c>
    </row>
    <row r="1437" spans="1:34" ht="75">
      <c r="A1437" s="6" t="s">
        <v>100</v>
      </c>
      <c r="B1437" s="7">
        <v>46027</v>
      </c>
      <c r="C1437" s="9" t="str">
        <f>HYPERLINK("https://eping.wto.org/en/Search?viewData= G/SPS/N/THA/803"," G/SPS/N/THA/803")</f>
        <v xml:space="preserve"> G/SPS/N/THA/803</v>
      </c>
      <c r="D1437" s="8" t="s">
        <v>5554</v>
      </c>
      <c r="E1437" s="8" t="s">
        <v>5555</v>
      </c>
      <c r="F1437" s="8" t="s">
        <v>103</v>
      </c>
      <c r="G1437" s="8" t="s">
        <v>5556</v>
      </c>
      <c r="H1437" s="8" t="s">
        <v>43</v>
      </c>
      <c r="I1437" s="8" t="s">
        <v>104</v>
      </c>
      <c r="J1437" s="8" t="s">
        <v>43</v>
      </c>
      <c r="K1437" s="8" t="s">
        <v>5557</v>
      </c>
      <c r="L1437" s="6" t="s">
        <v>5558</v>
      </c>
      <c r="M1437" s="7" t="s">
        <v>43</v>
      </c>
      <c r="N1437" s="7"/>
      <c r="O1437" s="7">
        <v>46016</v>
      </c>
      <c r="P1437" s="6" t="s">
        <v>107</v>
      </c>
      <c r="Q1437" s="6"/>
      <c r="R1437" t="str">
        <f>HYPERLINK("https://docs.wto.org/imrd/directdoc.asp?DDFDocuments/t/G/SPS/NTHA803.docx", "https://docs.wto.org/imrd/directdoc.asp?DDFDocuments/t/G/SPS/NTHA803.docx")</f>
        <v>https://docs.wto.org/imrd/directdoc.asp?DDFDocuments/t/G/SPS/NTHA803.docx</v>
      </c>
      <c r="S1437" t="str">
        <f>HYPERLINK("https://docs.wto.org/imrd/directdoc.asp?DDFDocuments/u/G/SPS/NTHA803.docx", "https://docs.wto.org/imrd/directdoc.asp?DDFDocuments/u/G/SPS/NTHA803.docx")</f>
        <v>https://docs.wto.org/imrd/directdoc.asp?DDFDocuments/u/G/SPS/NTHA803.docx</v>
      </c>
      <c r="T1437" t="str">
        <f>HYPERLINK("https://docs.wto.org/imrd/directdoc.asp?DDFDocuments/v/G/SPS/NTHA803.docx", "https://docs.wto.org/imrd/directdoc.asp?DDFDocuments/v/G/SPS/NTHA803.docx")</f>
        <v>https://docs.wto.org/imrd/directdoc.asp?DDFDocuments/v/G/SPS/NTHA803.docx</v>
      </c>
      <c r="U1437" t="s">
        <v>43</v>
      </c>
      <c r="V1437" t="s">
        <v>43</v>
      </c>
      <c r="W1437" t="s">
        <v>43</v>
      </c>
      <c r="X1437" t="s">
        <v>43</v>
      </c>
      <c r="Y1437" t="s">
        <v>43</v>
      </c>
      <c r="Z1437" t="s">
        <v>43</v>
      </c>
      <c r="AA1437" t="s">
        <v>43</v>
      </c>
      <c r="AB1437" s="2" t="s">
        <v>43</v>
      </c>
      <c r="AC1437" t="s">
        <v>46</v>
      </c>
      <c r="AD1437" t="s">
        <v>64</v>
      </c>
      <c r="AE1437" t="s">
        <v>46</v>
      </c>
      <c r="AF1437" t="s">
        <v>46</v>
      </c>
      <c r="AG1437" t="s">
        <v>64</v>
      </c>
      <c r="AH1437" s="2" t="s">
        <v>43</v>
      </c>
    </row>
    <row r="1438" spans="1:34" ht="135">
      <c r="A1438" s="6" t="s">
        <v>146</v>
      </c>
      <c r="B1438" s="7">
        <v>46027</v>
      </c>
      <c r="C1438" s="9" t="str">
        <f>HYPERLINK("https://eping.wto.org/en/Search?viewData= G/TBT/N/CHL/772"," G/TBT/N/CHL/772")</f>
        <v xml:space="preserve"> G/TBT/N/CHL/772</v>
      </c>
      <c r="D1438" s="8" t="s">
        <v>5559</v>
      </c>
      <c r="E1438" s="8" t="s">
        <v>5560</v>
      </c>
      <c r="F1438" s="8" t="s">
        <v>5561</v>
      </c>
      <c r="G1438" s="8" t="s">
        <v>5562</v>
      </c>
      <c r="H1438" s="8" t="s">
        <v>5563</v>
      </c>
      <c r="I1438" s="8" t="s">
        <v>129</v>
      </c>
      <c r="J1438" s="8" t="s">
        <v>43</v>
      </c>
      <c r="K1438" s="8" t="s">
        <v>43</v>
      </c>
      <c r="L1438" s="6"/>
      <c r="M1438" s="7">
        <v>46087</v>
      </c>
      <c r="N1438" s="7" t="s">
        <v>877</v>
      </c>
      <c r="O1438" s="7" t="s">
        <v>877</v>
      </c>
      <c r="P1438" s="6" t="s">
        <v>62</v>
      </c>
      <c r="Q1438" s="6"/>
      <c r="R1438" t="str">
        <f>HYPERLINK("https://docs.wto.org/imrd/directdoc.asp?DDFDocuments/t/G/TBTN26/CHL772.docx", "https://docs.wto.org/imrd/directdoc.asp?DDFDocuments/t/G/TBTN26/CHL772.docx")</f>
        <v>https://docs.wto.org/imrd/directdoc.asp?DDFDocuments/t/G/TBTN26/CHL772.docx</v>
      </c>
      <c r="S1438" t="str">
        <f>HYPERLINK("https://docs.wto.org/imrd/directdoc.asp?DDFDocuments/u/G/TBTN26/CHL772.docx", "https://docs.wto.org/imrd/directdoc.asp?DDFDocuments/u/G/TBTN26/CHL772.docx")</f>
        <v>https://docs.wto.org/imrd/directdoc.asp?DDFDocuments/u/G/TBTN26/CHL772.docx</v>
      </c>
      <c r="T1438" t="str">
        <f>HYPERLINK("https://docs.wto.org/imrd/directdoc.asp?DDFDocuments/v/G/TBTN26/CHL772.docx", "https://docs.wto.org/imrd/directdoc.asp?DDFDocuments/v/G/TBTN26/CHL772.docx")</f>
        <v>https://docs.wto.org/imrd/directdoc.asp?DDFDocuments/v/G/TBTN26/CHL772.docx</v>
      </c>
      <c r="U1438" t="s">
        <v>64</v>
      </c>
      <c r="V1438" t="s">
        <v>46</v>
      </c>
      <c r="W1438" t="s">
        <v>46</v>
      </c>
      <c r="X1438" t="s">
        <v>46</v>
      </c>
      <c r="Y1438" t="s">
        <v>46</v>
      </c>
      <c r="Z1438" t="s">
        <v>46</v>
      </c>
      <c r="AA1438" t="s">
        <v>46</v>
      </c>
      <c r="AB1438" s="2" t="s">
        <v>5489</v>
      </c>
      <c r="AC1438" t="s">
        <v>43</v>
      </c>
      <c r="AD1438" t="s">
        <v>43</v>
      </c>
      <c r="AE1438" t="s">
        <v>43</v>
      </c>
      <c r="AF1438" t="s">
        <v>43</v>
      </c>
      <c r="AG1438" t="s">
        <v>43</v>
      </c>
      <c r="AH1438" s="2" t="s">
        <v>43</v>
      </c>
    </row>
    <row r="1439" spans="1:34" ht="45">
      <c r="A1439" s="6" t="s">
        <v>96</v>
      </c>
      <c r="B1439" s="7">
        <v>46027</v>
      </c>
      <c r="C1439" s="9" t="str">
        <f>HYPERLINK("https://eping.wto.org/en/Search?viewData= G/TBT/N/ISR/1290/Add.2"," G/TBT/N/ISR/1290/Add.2")</f>
        <v xml:space="preserve"> G/TBT/N/ISR/1290/Add.2</v>
      </c>
      <c r="D1439" s="8" t="s">
        <v>5564</v>
      </c>
      <c r="E1439" s="8" t="s">
        <v>43</v>
      </c>
      <c r="F1439" s="8" t="s">
        <v>5565</v>
      </c>
      <c r="G1439" s="8" t="s">
        <v>5566</v>
      </c>
      <c r="H1439" s="8" t="s">
        <v>3291</v>
      </c>
      <c r="I1439" s="8" t="s">
        <v>1261</v>
      </c>
      <c r="J1439" s="8" t="s">
        <v>43</v>
      </c>
      <c r="K1439" s="8" t="s">
        <v>860</v>
      </c>
      <c r="L1439" s="6"/>
      <c r="M1439" s="7" t="s">
        <v>43</v>
      </c>
      <c r="N1439" s="7"/>
      <c r="O1439" s="7"/>
      <c r="P1439" s="6" t="s">
        <v>44</v>
      </c>
      <c r="Q1439" s="8" t="s">
        <v>5567</v>
      </c>
      <c r="R1439" t="str">
        <f>HYPERLINK("https://docs.wto.org/imrd/directdoc.asp?DDFDocuments/t/G/TBTN23/ISR1290A2.docx", "https://docs.wto.org/imrd/directdoc.asp?DDFDocuments/t/G/TBTN23/ISR1290A2.docx")</f>
        <v>https://docs.wto.org/imrd/directdoc.asp?DDFDocuments/t/G/TBTN23/ISR1290A2.docx</v>
      </c>
      <c r="S1439" t="str">
        <f>HYPERLINK("https://docs.wto.org/imrd/directdoc.asp?DDFDocuments/u/G/TBTN23/ISR1290A2.docx", "https://docs.wto.org/imrd/directdoc.asp?DDFDocuments/u/G/TBTN23/ISR1290A2.docx")</f>
        <v>https://docs.wto.org/imrd/directdoc.asp?DDFDocuments/u/G/TBTN23/ISR1290A2.docx</v>
      </c>
      <c r="T1439" t="str">
        <f>HYPERLINK("https://docs.wto.org/imrd/directdoc.asp?DDFDocuments/v/G/TBTN23/ISR1290A2.docx", "https://docs.wto.org/imrd/directdoc.asp?DDFDocuments/v/G/TBTN23/ISR1290A2.docx")</f>
        <v>https://docs.wto.org/imrd/directdoc.asp?DDFDocuments/v/G/TBTN23/ISR1290A2.docx</v>
      </c>
      <c r="U1439" t="s">
        <v>64</v>
      </c>
      <c r="V1439" t="s">
        <v>46</v>
      </c>
      <c r="W1439" t="s">
        <v>46</v>
      </c>
      <c r="X1439" t="s">
        <v>46</v>
      </c>
      <c r="Y1439" t="s">
        <v>46</v>
      </c>
      <c r="Z1439" t="s">
        <v>46</v>
      </c>
      <c r="AA1439" t="s">
        <v>46</v>
      </c>
      <c r="AB1439" s="2" t="s">
        <v>43</v>
      </c>
      <c r="AC1439" t="s">
        <v>43</v>
      </c>
      <c r="AD1439" t="s">
        <v>43</v>
      </c>
      <c r="AE1439" t="s">
        <v>43</v>
      </c>
      <c r="AF1439" t="s">
        <v>43</v>
      </c>
      <c r="AG1439" t="s">
        <v>43</v>
      </c>
      <c r="AH1439" s="2" t="s">
        <v>43</v>
      </c>
    </row>
    <row r="1440" spans="1:34" ht="135">
      <c r="A1440" s="6" t="s">
        <v>158</v>
      </c>
      <c r="B1440" s="7">
        <v>46027</v>
      </c>
      <c r="C1440" s="9" t="str">
        <f>HYPERLINK("https://eping.wto.org/en/Search?viewData= G/TBT/N/UKR/367"," G/TBT/N/UKR/367")</f>
        <v xml:space="preserve"> G/TBT/N/UKR/367</v>
      </c>
      <c r="D1440" s="8" t="s">
        <v>5568</v>
      </c>
      <c r="E1440" s="8" t="s">
        <v>5569</v>
      </c>
      <c r="F1440" s="8" t="s">
        <v>3413</v>
      </c>
      <c r="G1440" s="8" t="s">
        <v>43</v>
      </c>
      <c r="H1440" s="8" t="s">
        <v>1427</v>
      </c>
      <c r="I1440" s="8" t="s">
        <v>343</v>
      </c>
      <c r="J1440" s="8" t="s">
        <v>43</v>
      </c>
      <c r="K1440" s="8" t="s">
        <v>350</v>
      </c>
      <c r="L1440" s="6"/>
      <c r="M1440" s="7">
        <v>46087</v>
      </c>
      <c r="N1440" s="7" t="s">
        <v>79</v>
      </c>
      <c r="O1440" s="7" t="s">
        <v>5570</v>
      </c>
      <c r="P1440" s="6" t="s">
        <v>62</v>
      </c>
      <c r="Q1440" s="8" t="s">
        <v>5571</v>
      </c>
      <c r="R1440" t="str">
        <f>HYPERLINK("https://docs.wto.org/imrd/directdoc.asp?DDFDocuments/t/G/TBTN26/UKR367.docx", "https://docs.wto.org/imrd/directdoc.asp?DDFDocuments/t/G/TBTN26/UKR367.docx")</f>
        <v>https://docs.wto.org/imrd/directdoc.asp?DDFDocuments/t/G/TBTN26/UKR367.docx</v>
      </c>
      <c r="S1440" t="str">
        <f>HYPERLINK("https://docs.wto.org/imrd/directdoc.asp?DDFDocuments/u/G/TBTN26/UKR367.docx", "https://docs.wto.org/imrd/directdoc.asp?DDFDocuments/u/G/TBTN26/UKR367.docx")</f>
        <v>https://docs.wto.org/imrd/directdoc.asp?DDFDocuments/u/G/TBTN26/UKR367.docx</v>
      </c>
      <c r="T1440" t="str">
        <f>HYPERLINK("https://docs.wto.org/imrd/directdoc.asp?DDFDocuments/v/G/TBTN26/UKR367.docx", "https://docs.wto.org/imrd/directdoc.asp?DDFDocuments/v/G/TBTN26/UKR367.docx")</f>
        <v>https://docs.wto.org/imrd/directdoc.asp?DDFDocuments/v/G/TBTN26/UKR367.docx</v>
      </c>
      <c r="U1440" t="s">
        <v>64</v>
      </c>
      <c r="V1440" t="s">
        <v>46</v>
      </c>
      <c r="W1440" t="s">
        <v>64</v>
      </c>
      <c r="X1440" t="s">
        <v>46</v>
      </c>
      <c r="Y1440" t="s">
        <v>46</v>
      </c>
      <c r="Z1440" t="s">
        <v>46</v>
      </c>
      <c r="AA1440" t="s">
        <v>46</v>
      </c>
      <c r="AB1440" s="2" t="s">
        <v>5572</v>
      </c>
      <c r="AC1440" t="s">
        <v>43</v>
      </c>
      <c r="AD1440" t="s">
        <v>43</v>
      </c>
      <c r="AE1440" t="s">
        <v>43</v>
      </c>
      <c r="AF1440" t="s">
        <v>43</v>
      </c>
      <c r="AG1440" t="s">
        <v>43</v>
      </c>
      <c r="AH1440" s="2" t="s">
        <v>43</v>
      </c>
    </row>
    <row r="1441" spans="1:34" ht="240">
      <c r="A1441" s="6" t="s">
        <v>132</v>
      </c>
      <c r="B1441" s="7">
        <v>46027</v>
      </c>
      <c r="C1441" s="9" t="str">
        <f>HYPERLINK("https://eping.wto.org/en/Search?viewData= G/TBT/N/USA/2251/Add.1"," G/TBT/N/USA/2251/Add.1")</f>
        <v xml:space="preserve"> G/TBT/N/USA/2251/Add.1</v>
      </c>
      <c r="D1441" s="8" t="s">
        <v>5573</v>
      </c>
      <c r="E1441" s="8" t="s">
        <v>5574</v>
      </c>
      <c r="F1441" s="8" t="s">
        <v>5575</v>
      </c>
      <c r="G1441" s="8" t="s">
        <v>43</v>
      </c>
      <c r="H1441" s="8" t="s">
        <v>5576</v>
      </c>
      <c r="I1441" s="8" t="s">
        <v>322</v>
      </c>
      <c r="J1441" s="8" t="s">
        <v>43</v>
      </c>
      <c r="K1441" s="8" t="s">
        <v>43</v>
      </c>
      <c r="L1441" s="6"/>
      <c r="M1441" s="7">
        <v>46071</v>
      </c>
      <c r="N1441" s="7"/>
      <c r="O1441" s="7"/>
      <c r="P1441" s="6" t="s">
        <v>44</v>
      </c>
      <c r="Q1441" s="6"/>
      <c r="R1441" t="str">
        <f>HYPERLINK("https://docs.wto.org/imrd/directdoc.asp?DDFDocuments/t/G/TBTN25/USA2251A1.docx", "https://docs.wto.org/imrd/directdoc.asp?DDFDocuments/t/G/TBTN25/USA2251A1.docx")</f>
        <v>https://docs.wto.org/imrd/directdoc.asp?DDFDocuments/t/G/TBTN25/USA2251A1.docx</v>
      </c>
      <c r="S1441" t="str">
        <f>HYPERLINK("https://docs.wto.org/imrd/directdoc.asp?DDFDocuments/u/G/TBTN25/USA2251A1.docx", "https://docs.wto.org/imrd/directdoc.asp?DDFDocuments/u/G/TBTN25/USA2251A1.docx")</f>
        <v>https://docs.wto.org/imrd/directdoc.asp?DDFDocuments/u/G/TBTN25/USA2251A1.docx</v>
      </c>
      <c r="T1441" t="str">
        <f>HYPERLINK("https://docs.wto.org/imrd/directdoc.asp?DDFDocuments/v/G/TBTN25/USA2251A1.docx", "https://docs.wto.org/imrd/directdoc.asp?DDFDocuments/v/G/TBTN25/USA2251A1.docx")</f>
        <v>https://docs.wto.org/imrd/directdoc.asp?DDFDocuments/v/G/TBTN25/USA2251A1.docx</v>
      </c>
      <c r="U1441" t="s">
        <v>46</v>
      </c>
      <c r="V1441" t="s">
        <v>46</v>
      </c>
      <c r="W1441" t="s">
        <v>46</v>
      </c>
      <c r="X1441" t="s">
        <v>46</v>
      </c>
      <c r="Y1441" t="s">
        <v>46</v>
      </c>
      <c r="Z1441" t="s">
        <v>46</v>
      </c>
      <c r="AA1441" t="s">
        <v>46</v>
      </c>
      <c r="AB1441" s="2" t="s">
        <v>43</v>
      </c>
      <c r="AC1441" t="s">
        <v>43</v>
      </c>
      <c r="AD1441" t="s">
        <v>43</v>
      </c>
      <c r="AE1441" t="s">
        <v>43</v>
      </c>
      <c r="AF1441" t="s">
        <v>43</v>
      </c>
      <c r="AG1441" t="s">
        <v>43</v>
      </c>
      <c r="AH1441" s="2" t="s">
        <v>43</v>
      </c>
    </row>
    <row r="1442" spans="1:34" ht="30">
      <c r="A1442" s="6" t="s">
        <v>303</v>
      </c>
      <c r="B1442" s="7">
        <v>46027</v>
      </c>
      <c r="C1442" s="9" t="str">
        <f>HYPERLINK("https://eping.wto.org/en/Search?viewData= G/SPS/N/KOR/835"," G/SPS/N/KOR/835")</f>
        <v xml:space="preserve"> G/SPS/N/KOR/835</v>
      </c>
      <c r="D1442" s="8" t="s">
        <v>5577</v>
      </c>
      <c r="E1442" s="8" t="s">
        <v>5578</v>
      </c>
      <c r="F1442" s="8" t="s">
        <v>5579</v>
      </c>
      <c r="G1442" s="8" t="s">
        <v>43</v>
      </c>
      <c r="H1442" s="8" t="s">
        <v>43</v>
      </c>
      <c r="I1442" s="8" t="s">
        <v>58</v>
      </c>
      <c r="J1442" s="8" t="s">
        <v>43</v>
      </c>
      <c r="K1442" s="8" t="s">
        <v>157</v>
      </c>
      <c r="L1442" s="6" t="s">
        <v>43</v>
      </c>
      <c r="M1442" s="7">
        <v>46087</v>
      </c>
      <c r="N1442" s="7" t="s">
        <v>304</v>
      </c>
      <c r="O1442" s="7" t="s">
        <v>304</v>
      </c>
      <c r="P1442" s="6" t="s">
        <v>62</v>
      </c>
      <c r="Q1442" s="8" t="s">
        <v>5580</v>
      </c>
      <c r="R1442" t="str">
        <f>HYPERLINK("https://docs.wto.org/imrd/directdoc.asp?DDFDocuments/t/G/SPS/NKOR835.docx", "https://docs.wto.org/imrd/directdoc.asp?DDFDocuments/t/G/SPS/NKOR835.docx")</f>
        <v>https://docs.wto.org/imrd/directdoc.asp?DDFDocuments/t/G/SPS/NKOR835.docx</v>
      </c>
      <c r="S1442" t="str">
        <f>HYPERLINK("https://docs.wto.org/imrd/directdoc.asp?DDFDocuments/u/G/SPS/NKOR835.docx", "https://docs.wto.org/imrd/directdoc.asp?DDFDocuments/u/G/SPS/NKOR835.docx")</f>
        <v>https://docs.wto.org/imrd/directdoc.asp?DDFDocuments/u/G/SPS/NKOR835.docx</v>
      </c>
      <c r="T1442" t="str">
        <f>HYPERLINK("https://docs.wto.org/imrd/directdoc.asp?DDFDocuments/v/G/SPS/NKOR835.docx", "https://docs.wto.org/imrd/directdoc.asp?DDFDocuments/v/G/SPS/NKOR835.docx")</f>
        <v>https://docs.wto.org/imrd/directdoc.asp?DDFDocuments/v/G/SPS/NKOR835.docx</v>
      </c>
      <c r="U1442" t="s">
        <v>43</v>
      </c>
      <c r="V1442" t="s">
        <v>43</v>
      </c>
      <c r="W1442" t="s">
        <v>43</v>
      </c>
      <c r="X1442" t="s">
        <v>43</v>
      </c>
      <c r="Y1442" t="s">
        <v>43</v>
      </c>
      <c r="Z1442" t="s">
        <v>43</v>
      </c>
      <c r="AA1442" t="s">
        <v>43</v>
      </c>
      <c r="AB1442" s="2" t="s">
        <v>43</v>
      </c>
      <c r="AC1442" t="s">
        <v>46</v>
      </c>
      <c r="AD1442" t="s">
        <v>46</v>
      </c>
      <c r="AE1442" t="s">
        <v>46</v>
      </c>
      <c r="AF1442" t="s">
        <v>64</v>
      </c>
      <c r="AG1442" t="s">
        <v>99</v>
      </c>
      <c r="AH1442" s="2" t="s">
        <v>43</v>
      </c>
    </row>
    <row r="1443" spans="1:34" ht="75">
      <c r="A1443" s="6" t="s">
        <v>1886</v>
      </c>
      <c r="B1443" s="7">
        <v>46027</v>
      </c>
      <c r="C1443" s="9" t="str">
        <f>HYPERLINK("https://eping.wto.org/en/Search?viewData= G/SPS/N/KWT/173/Add.1"," G/SPS/N/KWT/173/Add.1")</f>
        <v xml:space="preserve"> G/SPS/N/KWT/173/Add.1</v>
      </c>
      <c r="D1443" s="8" t="s">
        <v>5581</v>
      </c>
      <c r="E1443" s="8" t="s">
        <v>5582</v>
      </c>
      <c r="F1443" s="8" t="s">
        <v>5492</v>
      </c>
      <c r="G1443" s="8" t="s">
        <v>1909</v>
      </c>
      <c r="H1443" s="8" t="s">
        <v>709</v>
      </c>
      <c r="I1443" s="8" t="s">
        <v>1721</v>
      </c>
      <c r="J1443" s="8" t="s">
        <v>43</v>
      </c>
      <c r="K1443" s="8" t="s">
        <v>5583</v>
      </c>
      <c r="L1443" s="6"/>
      <c r="M1443" s="7" t="s">
        <v>43</v>
      </c>
      <c r="N1443" s="7"/>
      <c r="O1443" s="7"/>
      <c r="P1443" s="6" t="s">
        <v>72</v>
      </c>
      <c r="Q1443" s="8" t="s">
        <v>5584</v>
      </c>
      <c r="R1443" t="str">
        <f>HYPERLINK("https://docs.wto.org/imrd/directdoc.asp?DDFDocuments/t/G/SPS/NKWT173A1.docx", "https://docs.wto.org/imrd/directdoc.asp?DDFDocuments/t/G/SPS/NKWT173A1.docx")</f>
        <v>https://docs.wto.org/imrd/directdoc.asp?DDFDocuments/t/G/SPS/NKWT173A1.docx</v>
      </c>
      <c r="S1443" t="str">
        <f>HYPERLINK("https://docs.wto.org/imrd/directdoc.asp?DDFDocuments/u/G/SPS/NKWT173A1.docx", "https://docs.wto.org/imrd/directdoc.asp?DDFDocuments/u/G/SPS/NKWT173A1.docx")</f>
        <v>https://docs.wto.org/imrd/directdoc.asp?DDFDocuments/u/G/SPS/NKWT173A1.docx</v>
      </c>
      <c r="T1443" t="str">
        <f>HYPERLINK("https://docs.wto.org/imrd/directdoc.asp?DDFDocuments/v/G/SPS/NKWT173A1.docx", "https://docs.wto.org/imrd/directdoc.asp?DDFDocuments/v/G/SPS/NKWT173A1.docx")</f>
        <v>https://docs.wto.org/imrd/directdoc.asp?DDFDocuments/v/G/SPS/NKWT173A1.docx</v>
      </c>
      <c r="U1443" t="s">
        <v>43</v>
      </c>
      <c r="V1443" t="s">
        <v>43</v>
      </c>
      <c r="W1443" t="s">
        <v>43</v>
      </c>
      <c r="X1443" t="s">
        <v>43</v>
      </c>
      <c r="Y1443" t="s">
        <v>43</v>
      </c>
      <c r="Z1443" t="s">
        <v>43</v>
      </c>
      <c r="AA1443" t="s">
        <v>43</v>
      </c>
      <c r="AB1443" s="2" t="s">
        <v>43</v>
      </c>
      <c r="AC1443" t="s">
        <v>43</v>
      </c>
      <c r="AD1443" t="s">
        <v>43</v>
      </c>
      <c r="AE1443" t="s">
        <v>43</v>
      </c>
      <c r="AF1443" t="s">
        <v>43</v>
      </c>
      <c r="AG1443" t="s">
        <v>43</v>
      </c>
      <c r="AH1443" s="2" t="s">
        <v>43</v>
      </c>
    </row>
    <row r="1444" spans="1:34" ht="180">
      <c r="A1444" s="6" t="s">
        <v>47</v>
      </c>
      <c r="B1444" s="7">
        <v>46027</v>
      </c>
      <c r="C1444" s="9" t="str">
        <f>HYPERLINK("https://eping.wto.org/en/Search?viewData= G/TBT/N/CAN/766"," G/TBT/N/CAN/766")</f>
        <v xml:space="preserve"> G/TBT/N/CAN/766</v>
      </c>
      <c r="D1444" s="8" t="s">
        <v>5585</v>
      </c>
      <c r="E1444" s="8" t="s">
        <v>5586</v>
      </c>
      <c r="F1444" s="8" t="s">
        <v>857</v>
      </c>
      <c r="G1444" s="8" t="s">
        <v>43</v>
      </c>
      <c r="H1444" s="8" t="s">
        <v>1427</v>
      </c>
      <c r="I1444" s="8" t="s">
        <v>52</v>
      </c>
      <c r="J1444" s="8" t="s">
        <v>859</v>
      </c>
      <c r="K1444" s="8" t="s">
        <v>350</v>
      </c>
      <c r="L1444" s="6"/>
      <c r="M1444" s="7">
        <v>46101</v>
      </c>
      <c r="N1444" s="7" t="s">
        <v>79</v>
      </c>
      <c r="O1444" s="7" t="s">
        <v>5587</v>
      </c>
      <c r="P1444" s="6" t="s">
        <v>62</v>
      </c>
      <c r="Q1444" s="8" t="s">
        <v>5588</v>
      </c>
      <c r="R1444" t="str">
        <f>HYPERLINK("https://docs.wto.org/imrd/directdoc.asp?DDFDocuments/t/G/TBTN26/CAN766.docx", "https://docs.wto.org/imrd/directdoc.asp?DDFDocuments/t/G/TBTN26/CAN766.docx")</f>
        <v>https://docs.wto.org/imrd/directdoc.asp?DDFDocuments/t/G/TBTN26/CAN766.docx</v>
      </c>
      <c r="S1444" t="str">
        <f>HYPERLINK("https://docs.wto.org/imrd/directdoc.asp?DDFDocuments/u/G/TBTN26/CAN766.docx", "https://docs.wto.org/imrd/directdoc.asp?DDFDocuments/u/G/TBTN26/CAN766.docx")</f>
        <v>https://docs.wto.org/imrd/directdoc.asp?DDFDocuments/u/G/TBTN26/CAN766.docx</v>
      </c>
      <c r="T1444" t="str">
        <f>HYPERLINK("https://docs.wto.org/imrd/directdoc.asp?DDFDocuments/v/G/TBTN26/CAN766.docx", "https://docs.wto.org/imrd/directdoc.asp?DDFDocuments/v/G/TBTN26/CAN766.docx")</f>
        <v>https://docs.wto.org/imrd/directdoc.asp?DDFDocuments/v/G/TBTN26/CAN766.docx</v>
      </c>
      <c r="U1444" t="s">
        <v>64</v>
      </c>
      <c r="V1444" t="s">
        <v>46</v>
      </c>
      <c r="W1444" t="s">
        <v>46</v>
      </c>
      <c r="X1444" t="s">
        <v>46</v>
      </c>
      <c r="Y1444" t="s">
        <v>46</v>
      </c>
      <c r="Z1444" t="s">
        <v>46</v>
      </c>
      <c r="AA1444" t="s">
        <v>46</v>
      </c>
      <c r="AB1444" s="2" t="s">
        <v>5589</v>
      </c>
      <c r="AC1444" t="s">
        <v>43</v>
      </c>
      <c r="AD1444" t="s">
        <v>43</v>
      </c>
      <c r="AE1444" t="s">
        <v>43</v>
      </c>
      <c r="AF1444" t="s">
        <v>43</v>
      </c>
      <c r="AG1444" t="s">
        <v>43</v>
      </c>
      <c r="AH1444" s="2" t="s">
        <v>43</v>
      </c>
    </row>
    <row r="1445" spans="1:34" ht="90">
      <c r="A1445" s="6" t="s">
        <v>96</v>
      </c>
      <c r="B1445" s="7">
        <v>46027</v>
      </c>
      <c r="C1445" s="9" t="str">
        <f>HYPERLINK("https://eping.wto.org/en/Search?viewData= G/TBT/N/ISR/1301/Add.1"," G/TBT/N/ISR/1301/Add.1")</f>
        <v xml:space="preserve"> G/TBT/N/ISR/1301/Add.1</v>
      </c>
      <c r="D1445" s="8" t="s">
        <v>5590</v>
      </c>
      <c r="E1445" s="8" t="s">
        <v>43</v>
      </c>
      <c r="F1445" s="8" t="s">
        <v>5591</v>
      </c>
      <c r="G1445" s="8" t="s">
        <v>5592</v>
      </c>
      <c r="H1445" s="8" t="s">
        <v>5593</v>
      </c>
      <c r="I1445" s="8" t="s">
        <v>2662</v>
      </c>
      <c r="J1445" s="8" t="s">
        <v>43</v>
      </c>
      <c r="K1445" s="8" t="s">
        <v>43</v>
      </c>
      <c r="L1445" s="6"/>
      <c r="M1445" s="7" t="s">
        <v>43</v>
      </c>
      <c r="N1445" s="7"/>
      <c r="O1445" s="7"/>
      <c r="P1445" s="6" t="s">
        <v>44</v>
      </c>
      <c r="Q1445" s="8" t="s">
        <v>5594</v>
      </c>
      <c r="R1445" t="str">
        <f>HYPERLINK("https://docs.wto.org/imrd/directdoc.asp?DDFDocuments/t/G/TBTN23/ISR1301A1.docx", "https://docs.wto.org/imrd/directdoc.asp?DDFDocuments/t/G/TBTN23/ISR1301A1.docx")</f>
        <v>https://docs.wto.org/imrd/directdoc.asp?DDFDocuments/t/G/TBTN23/ISR1301A1.docx</v>
      </c>
      <c r="S1445" t="str">
        <f>HYPERLINK("https://docs.wto.org/imrd/directdoc.asp?DDFDocuments/u/G/TBTN23/ISR1301A1.docx", "https://docs.wto.org/imrd/directdoc.asp?DDFDocuments/u/G/TBTN23/ISR1301A1.docx")</f>
        <v>https://docs.wto.org/imrd/directdoc.asp?DDFDocuments/u/G/TBTN23/ISR1301A1.docx</v>
      </c>
      <c r="T1445" t="str">
        <f>HYPERLINK("https://docs.wto.org/imrd/directdoc.asp?DDFDocuments/v/G/TBTN23/ISR1301A1.docx", "https://docs.wto.org/imrd/directdoc.asp?DDFDocuments/v/G/TBTN23/ISR1301A1.docx")</f>
        <v>https://docs.wto.org/imrd/directdoc.asp?DDFDocuments/v/G/TBTN23/ISR1301A1.docx</v>
      </c>
      <c r="U1445" t="s">
        <v>64</v>
      </c>
      <c r="V1445" t="s">
        <v>46</v>
      </c>
      <c r="W1445" t="s">
        <v>46</v>
      </c>
      <c r="X1445" t="s">
        <v>46</v>
      </c>
      <c r="Y1445" t="s">
        <v>46</v>
      </c>
      <c r="Z1445" t="s">
        <v>46</v>
      </c>
      <c r="AA1445" t="s">
        <v>46</v>
      </c>
      <c r="AB1445" s="2" t="s">
        <v>43</v>
      </c>
      <c r="AC1445" t="s">
        <v>43</v>
      </c>
      <c r="AD1445" t="s">
        <v>43</v>
      </c>
      <c r="AE1445" t="s">
        <v>43</v>
      </c>
      <c r="AF1445" t="s">
        <v>43</v>
      </c>
      <c r="AG1445" t="s">
        <v>43</v>
      </c>
      <c r="AH1445" s="2" t="s">
        <v>43</v>
      </c>
    </row>
    <row r="1446" spans="1:34" ht="150">
      <c r="A1446" s="6" t="s">
        <v>1346</v>
      </c>
      <c r="B1446" s="7">
        <v>46027</v>
      </c>
      <c r="C1446" s="9" t="str">
        <f>HYPERLINK("https://eping.wto.org/en/Search?viewData= G/TBT/N/KGZ/62"," G/TBT/N/KGZ/62")</f>
        <v xml:space="preserve"> G/TBT/N/KGZ/62</v>
      </c>
      <c r="D1446" s="8" t="s">
        <v>5595</v>
      </c>
      <c r="E1446" s="8" t="s">
        <v>5596</v>
      </c>
      <c r="F1446" s="8" t="s">
        <v>5597</v>
      </c>
      <c r="G1446" s="8" t="s">
        <v>5598</v>
      </c>
      <c r="H1446" s="8" t="s">
        <v>896</v>
      </c>
      <c r="I1446" s="8" t="s">
        <v>275</v>
      </c>
      <c r="J1446" s="8" t="s">
        <v>5599</v>
      </c>
      <c r="K1446" s="8" t="s">
        <v>670</v>
      </c>
      <c r="L1446" s="6"/>
      <c r="M1446" s="7">
        <v>46087</v>
      </c>
      <c r="N1446" s="7" t="s">
        <v>5600</v>
      </c>
      <c r="O1446" s="7" t="s">
        <v>5600</v>
      </c>
      <c r="P1446" s="6" t="s">
        <v>62</v>
      </c>
      <c r="Q1446" s="8" t="s">
        <v>5601</v>
      </c>
      <c r="R1446" t="str">
        <f>HYPERLINK("https://docs.wto.org/imrd/directdoc.asp?DDFDocuments/t/G/TBTN26/KGZ62.docx", "https://docs.wto.org/imrd/directdoc.asp?DDFDocuments/t/G/TBTN26/KGZ62.docx")</f>
        <v>https://docs.wto.org/imrd/directdoc.asp?DDFDocuments/t/G/TBTN26/KGZ62.docx</v>
      </c>
      <c r="S1446" t="str">
        <f>HYPERLINK("https://docs.wto.org/imrd/directdoc.asp?DDFDocuments/u/G/TBTN26/KGZ62.docx", "https://docs.wto.org/imrd/directdoc.asp?DDFDocuments/u/G/TBTN26/KGZ62.docx")</f>
        <v>https://docs.wto.org/imrd/directdoc.asp?DDFDocuments/u/G/TBTN26/KGZ62.docx</v>
      </c>
      <c r="T1446" t="str">
        <f>HYPERLINK("https://docs.wto.org/imrd/directdoc.asp?DDFDocuments/v/G/TBTN26/KGZ62.docx", "https://docs.wto.org/imrd/directdoc.asp?DDFDocuments/v/G/TBTN26/KGZ62.docx")</f>
        <v>https://docs.wto.org/imrd/directdoc.asp?DDFDocuments/v/G/TBTN26/KGZ62.docx</v>
      </c>
      <c r="U1446" t="s">
        <v>64</v>
      </c>
      <c r="V1446" t="s">
        <v>46</v>
      </c>
      <c r="W1446" t="s">
        <v>46</v>
      </c>
      <c r="X1446" t="s">
        <v>46</v>
      </c>
      <c r="Y1446" t="s">
        <v>46</v>
      </c>
      <c r="Z1446" t="s">
        <v>46</v>
      </c>
      <c r="AA1446" t="s">
        <v>46</v>
      </c>
      <c r="AB1446" s="2" t="s">
        <v>5602</v>
      </c>
      <c r="AC1446" t="s">
        <v>43</v>
      </c>
      <c r="AD1446" t="s">
        <v>43</v>
      </c>
      <c r="AE1446" t="s">
        <v>43</v>
      </c>
      <c r="AF1446" t="s">
        <v>43</v>
      </c>
      <c r="AG1446" t="s">
        <v>43</v>
      </c>
      <c r="AH1446" s="2" t="s">
        <v>43</v>
      </c>
    </row>
    <row r="1447" spans="1:34" ht="90">
      <c r="A1447" s="6" t="s">
        <v>756</v>
      </c>
      <c r="B1447" s="7">
        <v>46027</v>
      </c>
      <c r="C1447" s="9" t="str">
        <f>HYPERLINK("https://eping.wto.org/en/Search?viewData= G/SPS/N/PER/1093/Add.1"," G/SPS/N/PER/1093/Add.1")</f>
        <v xml:space="preserve"> G/SPS/N/PER/1093/Add.1</v>
      </c>
      <c r="D1447" s="8" t="s">
        <v>5603</v>
      </c>
      <c r="E1447" s="8" t="s">
        <v>5603</v>
      </c>
      <c r="F1447" s="8" t="s">
        <v>5604</v>
      </c>
      <c r="G1447" s="8" t="s">
        <v>5605</v>
      </c>
      <c r="H1447" s="8" t="s">
        <v>43</v>
      </c>
      <c r="I1447" s="8" t="s">
        <v>254</v>
      </c>
      <c r="J1447" s="8" t="s">
        <v>43</v>
      </c>
      <c r="K1447" s="8" t="s">
        <v>4218</v>
      </c>
      <c r="L1447" s="6"/>
      <c r="M1447" s="7" t="s">
        <v>43</v>
      </c>
      <c r="N1447" s="7"/>
      <c r="O1447" s="7"/>
      <c r="P1447" s="6" t="s">
        <v>44</v>
      </c>
      <c r="Q1447" s="8" t="s">
        <v>5606</v>
      </c>
      <c r="R1447" t="str">
        <f>HYPERLINK("https://docs.wto.org/imrd/directdoc.asp?DDFDocuments/t/G/SPS/NPER1093A1.docx", "https://docs.wto.org/imrd/directdoc.asp?DDFDocuments/t/G/SPS/NPER1093A1.docx")</f>
        <v>https://docs.wto.org/imrd/directdoc.asp?DDFDocuments/t/G/SPS/NPER1093A1.docx</v>
      </c>
      <c r="S1447" t="str">
        <f>HYPERLINK("https://docs.wto.org/imrd/directdoc.asp?DDFDocuments/u/G/SPS/NPER1093A1.docx", "https://docs.wto.org/imrd/directdoc.asp?DDFDocuments/u/G/SPS/NPER1093A1.docx")</f>
        <v>https://docs.wto.org/imrd/directdoc.asp?DDFDocuments/u/G/SPS/NPER1093A1.docx</v>
      </c>
      <c r="T1447" t="str">
        <f>HYPERLINK("https://docs.wto.org/imrd/directdoc.asp?DDFDocuments/v/G/SPS/NPER1093A1.docx", "https://docs.wto.org/imrd/directdoc.asp?DDFDocuments/v/G/SPS/NPER1093A1.docx")</f>
        <v>https://docs.wto.org/imrd/directdoc.asp?DDFDocuments/v/G/SPS/NPER1093A1.docx</v>
      </c>
      <c r="U1447" t="s">
        <v>43</v>
      </c>
      <c r="V1447" t="s">
        <v>43</v>
      </c>
      <c r="W1447" t="s">
        <v>43</v>
      </c>
      <c r="X1447" t="s">
        <v>43</v>
      </c>
      <c r="Y1447" t="s">
        <v>43</v>
      </c>
      <c r="Z1447" t="s">
        <v>43</v>
      </c>
      <c r="AA1447" t="s">
        <v>43</v>
      </c>
      <c r="AB1447" s="2" t="s">
        <v>43</v>
      </c>
      <c r="AC1447" t="s">
        <v>43</v>
      </c>
      <c r="AD1447" t="s">
        <v>43</v>
      </c>
      <c r="AE1447" t="s">
        <v>43</v>
      </c>
      <c r="AF1447" t="s">
        <v>43</v>
      </c>
      <c r="AG1447" t="s">
        <v>43</v>
      </c>
      <c r="AH1447" s="2" t="s">
        <v>43</v>
      </c>
    </row>
    <row r="1448" spans="1:34" ht="75">
      <c r="A1448" s="6" t="s">
        <v>100</v>
      </c>
      <c r="B1448" s="7">
        <v>46027</v>
      </c>
      <c r="C1448" s="9" t="str">
        <f>HYPERLINK("https://eping.wto.org/en/Search?viewData= G/SPS/N/THA/778/Add.5"," G/SPS/N/THA/778/Add.5")</f>
        <v xml:space="preserve"> G/SPS/N/THA/778/Add.5</v>
      </c>
      <c r="D1448" s="8" t="s">
        <v>5607</v>
      </c>
      <c r="E1448" s="8" t="s">
        <v>5608</v>
      </c>
      <c r="F1448" s="8" t="s">
        <v>1908</v>
      </c>
      <c r="G1448" s="8" t="s">
        <v>3048</v>
      </c>
      <c r="H1448" s="8" t="s">
        <v>43</v>
      </c>
      <c r="I1448" s="8" t="s">
        <v>104</v>
      </c>
      <c r="J1448" s="8" t="s">
        <v>43</v>
      </c>
      <c r="K1448" s="8" t="s">
        <v>5609</v>
      </c>
      <c r="L1448" s="6"/>
      <c r="M1448" s="7" t="s">
        <v>43</v>
      </c>
      <c r="N1448" s="7"/>
      <c r="O1448" s="7"/>
      <c r="P1448" s="6" t="s">
        <v>72</v>
      </c>
      <c r="Q1448" s="8" t="s">
        <v>5610</v>
      </c>
      <c r="R1448" t="str">
        <f>HYPERLINK("https://docs.wto.org/imrd/directdoc.asp?DDFDocuments/t/G/SPS/NTHA778A5.docx", "https://docs.wto.org/imrd/directdoc.asp?DDFDocuments/t/G/SPS/NTHA778A5.docx")</f>
        <v>https://docs.wto.org/imrd/directdoc.asp?DDFDocuments/t/G/SPS/NTHA778A5.docx</v>
      </c>
      <c r="S1448" t="str">
        <f>HYPERLINK("https://docs.wto.org/imrd/directdoc.asp?DDFDocuments/u/G/SPS/NTHA778A5.docx", "https://docs.wto.org/imrd/directdoc.asp?DDFDocuments/u/G/SPS/NTHA778A5.docx")</f>
        <v>https://docs.wto.org/imrd/directdoc.asp?DDFDocuments/u/G/SPS/NTHA778A5.docx</v>
      </c>
      <c r="T1448" t="str">
        <f>HYPERLINK("https://docs.wto.org/imrd/directdoc.asp?DDFDocuments/v/G/SPS/NTHA778A5.docx", "https://docs.wto.org/imrd/directdoc.asp?DDFDocuments/v/G/SPS/NTHA778A5.docx")</f>
        <v>https://docs.wto.org/imrd/directdoc.asp?DDFDocuments/v/G/SPS/NTHA778A5.docx</v>
      </c>
      <c r="U1448" t="s">
        <v>43</v>
      </c>
      <c r="V1448" t="s">
        <v>43</v>
      </c>
      <c r="W1448" t="s">
        <v>43</v>
      </c>
      <c r="X1448" t="s">
        <v>43</v>
      </c>
      <c r="Y1448" t="s">
        <v>43</v>
      </c>
      <c r="Z1448" t="s">
        <v>43</v>
      </c>
      <c r="AA1448" t="s">
        <v>43</v>
      </c>
      <c r="AB1448" s="2" t="s">
        <v>43</v>
      </c>
      <c r="AC1448" t="s">
        <v>43</v>
      </c>
      <c r="AD1448" t="s">
        <v>43</v>
      </c>
      <c r="AE1448" t="s">
        <v>43</v>
      </c>
      <c r="AF1448" t="s">
        <v>43</v>
      </c>
      <c r="AG1448" t="s">
        <v>43</v>
      </c>
      <c r="AH1448" s="2" t="s">
        <v>43</v>
      </c>
    </row>
    <row r="1449" spans="1:34" ht="45">
      <c r="A1449" s="6" t="s">
        <v>96</v>
      </c>
      <c r="B1449" s="7">
        <v>46027</v>
      </c>
      <c r="C1449" s="9" t="str">
        <f>HYPERLINK("https://eping.wto.org/en/Search?viewData= G/TBT/N/ISR/1291/Add.1"," G/TBT/N/ISR/1291/Add.1")</f>
        <v xml:space="preserve"> G/TBT/N/ISR/1291/Add.1</v>
      </c>
      <c r="D1449" s="8" t="s">
        <v>5611</v>
      </c>
      <c r="E1449" s="8" t="s">
        <v>43</v>
      </c>
      <c r="F1449" s="8" t="s">
        <v>5565</v>
      </c>
      <c r="G1449" s="8" t="s">
        <v>5612</v>
      </c>
      <c r="H1449" s="8" t="s">
        <v>3291</v>
      </c>
      <c r="I1449" s="8" t="s">
        <v>1261</v>
      </c>
      <c r="J1449" s="8" t="s">
        <v>43</v>
      </c>
      <c r="K1449" s="8" t="s">
        <v>860</v>
      </c>
      <c r="L1449" s="6"/>
      <c r="M1449" s="7" t="s">
        <v>43</v>
      </c>
      <c r="N1449" s="7"/>
      <c r="O1449" s="7"/>
      <c r="P1449" s="6" t="s">
        <v>44</v>
      </c>
      <c r="Q1449" s="8" t="s">
        <v>5613</v>
      </c>
      <c r="R1449" t="str">
        <f>HYPERLINK("https://docs.wto.org/imrd/directdoc.asp?DDFDocuments/t/G/TBTN23/ISR1291A1.docx", "https://docs.wto.org/imrd/directdoc.asp?DDFDocuments/t/G/TBTN23/ISR1291A1.docx")</f>
        <v>https://docs.wto.org/imrd/directdoc.asp?DDFDocuments/t/G/TBTN23/ISR1291A1.docx</v>
      </c>
      <c r="S1449" t="str">
        <f>HYPERLINK("https://docs.wto.org/imrd/directdoc.asp?DDFDocuments/u/G/TBTN23/ISR1291A1.docx", "https://docs.wto.org/imrd/directdoc.asp?DDFDocuments/u/G/TBTN23/ISR1291A1.docx")</f>
        <v>https://docs.wto.org/imrd/directdoc.asp?DDFDocuments/u/G/TBTN23/ISR1291A1.docx</v>
      </c>
      <c r="T1449" t="str">
        <f>HYPERLINK("https://docs.wto.org/imrd/directdoc.asp?DDFDocuments/v/G/TBTN23/ISR1291A1.docx", "https://docs.wto.org/imrd/directdoc.asp?DDFDocuments/v/G/TBTN23/ISR1291A1.docx")</f>
        <v>https://docs.wto.org/imrd/directdoc.asp?DDFDocuments/v/G/TBTN23/ISR1291A1.docx</v>
      </c>
      <c r="U1449" t="s">
        <v>64</v>
      </c>
      <c r="V1449" t="s">
        <v>46</v>
      </c>
      <c r="W1449" t="s">
        <v>46</v>
      </c>
      <c r="X1449" t="s">
        <v>46</v>
      </c>
      <c r="Y1449" t="s">
        <v>46</v>
      </c>
      <c r="Z1449" t="s">
        <v>46</v>
      </c>
      <c r="AA1449" t="s">
        <v>46</v>
      </c>
      <c r="AB1449" s="2" t="s">
        <v>43</v>
      </c>
      <c r="AC1449" t="s">
        <v>43</v>
      </c>
      <c r="AD1449" t="s">
        <v>43</v>
      </c>
      <c r="AE1449" t="s">
        <v>43</v>
      </c>
      <c r="AF1449" t="s">
        <v>43</v>
      </c>
      <c r="AG1449" t="s">
        <v>43</v>
      </c>
      <c r="AH1449" s="2" t="s">
        <v>43</v>
      </c>
    </row>
    <row r="1450" spans="1:34" ht="45">
      <c r="A1450" s="6" t="s">
        <v>1886</v>
      </c>
      <c r="B1450" s="7">
        <v>46027</v>
      </c>
      <c r="C1450" s="9" t="str">
        <f>HYPERLINK("https://eping.wto.org/en/Search?viewData= G/SPS/N/KWT/200"," G/SPS/N/KWT/200")</f>
        <v xml:space="preserve"> G/SPS/N/KWT/200</v>
      </c>
      <c r="D1450" s="8" t="s">
        <v>5614</v>
      </c>
      <c r="E1450" s="8" t="s">
        <v>5615</v>
      </c>
      <c r="F1450" s="8" t="s">
        <v>5492</v>
      </c>
      <c r="G1450" s="8" t="s">
        <v>5493</v>
      </c>
      <c r="H1450" s="8" t="s">
        <v>5494</v>
      </c>
      <c r="I1450" s="8" t="s">
        <v>1721</v>
      </c>
      <c r="J1450" s="8" t="s">
        <v>43</v>
      </c>
      <c r="K1450" s="8" t="s">
        <v>5616</v>
      </c>
      <c r="L1450" s="6" t="s">
        <v>5617</v>
      </c>
      <c r="M1450" s="7" t="s">
        <v>43</v>
      </c>
      <c r="N1450" s="7"/>
      <c r="O1450" s="7">
        <v>46015</v>
      </c>
      <c r="P1450" s="6" t="s">
        <v>107</v>
      </c>
      <c r="Q1450" s="8" t="s">
        <v>5618</v>
      </c>
      <c r="R1450" t="str">
        <f>HYPERLINK("https://docs.wto.org/imrd/directdoc.asp?DDFDocuments/t/G/SPS/NKWT200.docx", "https://docs.wto.org/imrd/directdoc.asp?DDFDocuments/t/G/SPS/NKWT200.docx")</f>
        <v>https://docs.wto.org/imrd/directdoc.asp?DDFDocuments/t/G/SPS/NKWT200.docx</v>
      </c>
      <c r="S1450" t="str">
        <f>HYPERLINK("https://docs.wto.org/imrd/directdoc.asp?DDFDocuments/u/G/SPS/NKWT200.docx", "https://docs.wto.org/imrd/directdoc.asp?DDFDocuments/u/G/SPS/NKWT200.docx")</f>
        <v>https://docs.wto.org/imrd/directdoc.asp?DDFDocuments/u/G/SPS/NKWT200.docx</v>
      </c>
      <c r="T1450" t="str">
        <f>HYPERLINK("https://docs.wto.org/imrd/directdoc.asp?DDFDocuments/v/G/SPS/NKWT200.docx", "https://docs.wto.org/imrd/directdoc.asp?DDFDocuments/v/G/SPS/NKWT200.docx")</f>
        <v>https://docs.wto.org/imrd/directdoc.asp?DDFDocuments/v/G/SPS/NKWT200.docx</v>
      </c>
      <c r="U1450" t="s">
        <v>43</v>
      </c>
      <c r="V1450" t="s">
        <v>43</v>
      </c>
      <c r="W1450" t="s">
        <v>43</v>
      </c>
      <c r="X1450" t="s">
        <v>43</v>
      </c>
      <c r="Y1450" t="s">
        <v>43</v>
      </c>
      <c r="Z1450" t="s">
        <v>43</v>
      </c>
      <c r="AA1450" t="s">
        <v>43</v>
      </c>
      <c r="AB1450" s="2" t="s">
        <v>43</v>
      </c>
      <c r="AC1450" t="s">
        <v>46</v>
      </c>
      <c r="AD1450" t="s">
        <v>64</v>
      </c>
      <c r="AE1450" t="s">
        <v>46</v>
      </c>
      <c r="AF1450" t="s">
        <v>46</v>
      </c>
      <c r="AG1450" t="s">
        <v>64</v>
      </c>
      <c r="AH1450" s="2" t="s">
        <v>43</v>
      </c>
    </row>
    <row r="1451" spans="1:34" ht="135">
      <c r="A1451" s="6" t="s">
        <v>146</v>
      </c>
      <c r="B1451" s="7">
        <v>46027</v>
      </c>
      <c r="C1451" s="9" t="str">
        <f>HYPERLINK("https://eping.wto.org/en/Search?viewData= G/TBT/N/CHL/768"," G/TBT/N/CHL/768")</f>
        <v xml:space="preserve"> G/TBT/N/CHL/768</v>
      </c>
      <c r="D1451" s="8" t="s">
        <v>5619</v>
      </c>
      <c r="E1451" s="8" t="s">
        <v>5620</v>
      </c>
      <c r="F1451" s="8" t="s">
        <v>5621</v>
      </c>
      <c r="G1451" s="8" t="s">
        <v>43</v>
      </c>
      <c r="H1451" s="8" t="s">
        <v>5622</v>
      </c>
      <c r="I1451" s="8" t="s">
        <v>129</v>
      </c>
      <c r="J1451" s="8" t="s">
        <v>43</v>
      </c>
      <c r="K1451" s="8" t="s">
        <v>43</v>
      </c>
      <c r="L1451" s="6"/>
      <c r="M1451" s="7">
        <v>46087</v>
      </c>
      <c r="N1451" s="7" t="s">
        <v>877</v>
      </c>
      <c r="O1451" s="7" t="s">
        <v>877</v>
      </c>
      <c r="P1451" s="6" t="s">
        <v>62</v>
      </c>
      <c r="Q1451" s="6"/>
      <c r="R1451" t="str">
        <f>HYPERLINK("https://docs.wto.org/imrd/directdoc.asp?DDFDocuments/t/G/TBTN26/CHL768.docx", "https://docs.wto.org/imrd/directdoc.asp?DDFDocuments/t/G/TBTN26/CHL768.docx")</f>
        <v>https://docs.wto.org/imrd/directdoc.asp?DDFDocuments/t/G/TBTN26/CHL768.docx</v>
      </c>
      <c r="S1451" t="str">
        <f>HYPERLINK("https://docs.wto.org/imrd/directdoc.asp?DDFDocuments/u/G/TBTN26/CHL768.docx", "https://docs.wto.org/imrd/directdoc.asp?DDFDocuments/u/G/TBTN26/CHL768.docx")</f>
        <v>https://docs.wto.org/imrd/directdoc.asp?DDFDocuments/u/G/TBTN26/CHL768.docx</v>
      </c>
      <c r="T1451" t="str">
        <f>HYPERLINK("https://docs.wto.org/imrd/directdoc.asp?DDFDocuments/v/G/TBTN26/CHL768.docx", "https://docs.wto.org/imrd/directdoc.asp?DDFDocuments/v/G/TBTN26/CHL768.docx")</f>
        <v>https://docs.wto.org/imrd/directdoc.asp?DDFDocuments/v/G/TBTN26/CHL768.docx</v>
      </c>
      <c r="U1451" t="s">
        <v>64</v>
      </c>
      <c r="V1451" t="s">
        <v>46</v>
      </c>
      <c r="W1451" t="s">
        <v>46</v>
      </c>
      <c r="X1451" t="s">
        <v>46</v>
      </c>
      <c r="Y1451" t="s">
        <v>46</v>
      </c>
      <c r="Z1451" t="s">
        <v>46</v>
      </c>
      <c r="AA1451" t="s">
        <v>46</v>
      </c>
      <c r="AB1451" s="2" t="s">
        <v>5623</v>
      </c>
      <c r="AC1451" t="s">
        <v>43</v>
      </c>
      <c r="AD1451" t="s">
        <v>43</v>
      </c>
      <c r="AE1451" t="s">
        <v>43</v>
      </c>
      <c r="AF1451" t="s">
        <v>43</v>
      </c>
      <c r="AG1451" t="s">
        <v>43</v>
      </c>
      <c r="AH1451" s="2" t="s">
        <v>43</v>
      </c>
    </row>
    <row r="1452" spans="1:34" ht="105">
      <c r="A1452" s="6" t="s">
        <v>146</v>
      </c>
      <c r="B1452" s="7">
        <v>46027</v>
      </c>
      <c r="C1452" s="9" t="str">
        <f>HYPERLINK("https://eping.wto.org/en/Search?viewData= G/TBT/N/CHL/769"," G/TBT/N/CHL/769")</f>
        <v xml:space="preserve"> G/TBT/N/CHL/769</v>
      </c>
      <c r="D1452" s="8" t="s">
        <v>5624</v>
      </c>
      <c r="E1452" s="8" t="s">
        <v>5625</v>
      </c>
      <c r="F1452" s="8" t="s">
        <v>5626</v>
      </c>
      <c r="G1452" s="8" t="s">
        <v>43</v>
      </c>
      <c r="H1452" s="8" t="s">
        <v>5627</v>
      </c>
      <c r="I1452" s="8" t="s">
        <v>129</v>
      </c>
      <c r="J1452" s="8" t="s">
        <v>43</v>
      </c>
      <c r="K1452" s="8" t="s">
        <v>43</v>
      </c>
      <c r="L1452" s="6"/>
      <c r="M1452" s="7">
        <v>46087</v>
      </c>
      <c r="N1452" s="7" t="s">
        <v>877</v>
      </c>
      <c r="O1452" s="7" t="s">
        <v>877</v>
      </c>
      <c r="P1452" s="6" t="s">
        <v>62</v>
      </c>
      <c r="Q1452" s="6"/>
      <c r="R1452" t="str">
        <f>HYPERLINK("https://docs.wto.org/imrd/directdoc.asp?DDFDocuments/t/G/TBTN26/CHL769.docx", "https://docs.wto.org/imrd/directdoc.asp?DDFDocuments/t/G/TBTN26/CHL769.docx")</f>
        <v>https://docs.wto.org/imrd/directdoc.asp?DDFDocuments/t/G/TBTN26/CHL769.docx</v>
      </c>
      <c r="S1452" t="str">
        <f>HYPERLINK("https://docs.wto.org/imrd/directdoc.asp?DDFDocuments/u/G/TBTN26/CHL769.docx", "https://docs.wto.org/imrd/directdoc.asp?DDFDocuments/u/G/TBTN26/CHL769.docx")</f>
        <v>https://docs.wto.org/imrd/directdoc.asp?DDFDocuments/u/G/TBTN26/CHL769.docx</v>
      </c>
      <c r="T1452" t="str">
        <f>HYPERLINK("https://docs.wto.org/imrd/directdoc.asp?DDFDocuments/v/G/TBTN26/CHL769.docx", "https://docs.wto.org/imrd/directdoc.asp?DDFDocuments/v/G/TBTN26/CHL769.docx")</f>
        <v>https://docs.wto.org/imrd/directdoc.asp?DDFDocuments/v/G/TBTN26/CHL769.docx</v>
      </c>
      <c r="U1452" t="s">
        <v>64</v>
      </c>
      <c r="V1452" t="s">
        <v>46</v>
      </c>
      <c r="W1452" t="s">
        <v>46</v>
      </c>
      <c r="X1452" t="s">
        <v>46</v>
      </c>
      <c r="Y1452" t="s">
        <v>46</v>
      </c>
      <c r="Z1452" t="s">
        <v>46</v>
      </c>
      <c r="AA1452" t="s">
        <v>46</v>
      </c>
      <c r="AB1452" s="2" t="s">
        <v>5489</v>
      </c>
      <c r="AC1452" t="s">
        <v>43</v>
      </c>
      <c r="AD1452" t="s">
        <v>43</v>
      </c>
      <c r="AE1452" t="s">
        <v>43</v>
      </c>
      <c r="AF1452" t="s">
        <v>43</v>
      </c>
      <c r="AG1452" t="s">
        <v>43</v>
      </c>
      <c r="AH1452" s="2" t="s">
        <v>43</v>
      </c>
    </row>
    <row r="1453" spans="1:34" ht="90">
      <c r="A1453" s="6" t="s">
        <v>146</v>
      </c>
      <c r="B1453" s="7">
        <v>46027</v>
      </c>
      <c r="C1453" s="9" t="str">
        <f>HYPERLINK("https://eping.wto.org/en/Search?viewData= G/TBT/N/CHL/770"," G/TBT/N/CHL/770")</f>
        <v xml:space="preserve"> G/TBT/N/CHL/770</v>
      </c>
      <c r="D1453" s="8" t="s">
        <v>5628</v>
      </c>
      <c r="E1453" s="8" t="s">
        <v>5629</v>
      </c>
      <c r="F1453" s="8" t="s">
        <v>5630</v>
      </c>
      <c r="G1453" s="8" t="s">
        <v>43</v>
      </c>
      <c r="H1453" s="8" t="s">
        <v>5631</v>
      </c>
      <c r="I1453" s="8" t="s">
        <v>129</v>
      </c>
      <c r="J1453" s="8" t="s">
        <v>43</v>
      </c>
      <c r="K1453" s="8" t="s">
        <v>43</v>
      </c>
      <c r="L1453" s="6"/>
      <c r="M1453" s="7">
        <v>46087</v>
      </c>
      <c r="N1453" s="7" t="s">
        <v>877</v>
      </c>
      <c r="O1453" s="7" t="s">
        <v>877</v>
      </c>
      <c r="P1453" s="6" t="s">
        <v>62</v>
      </c>
      <c r="Q1453" s="6"/>
      <c r="R1453" t="str">
        <f>HYPERLINK("https://docs.wto.org/imrd/directdoc.asp?DDFDocuments/t/G/TBTN26/CHL770.docx", "https://docs.wto.org/imrd/directdoc.asp?DDFDocuments/t/G/TBTN26/CHL770.docx")</f>
        <v>https://docs.wto.org/imrd/directdoc.asp?DDFDocuments/t/G/TBTN26/CHL770.docx</v>
      </c>
      <c r="S1453" t="str">
        <f>HYPERLINK("https://docs.wto.org/imrd/directdoc.asp?DDFDocuments/u/G/TBTN26/CHL770.docx", "https://docs.wto.org/imrd/directdoc.asp?DDFDocuments/u/G/TBTN26/CHL770.docx")</f>
        <v>https://docs.wto.org/imrd/directdoc.asp?DDFDocuments/u/G/TBTN26/CHL770.docx</v>
      </c>
      <c r="T1453" t="str">
        <f>HYPERLINK("https://docs.wto.org/imrd/directdoc.asp?DDFDocuments/v/G/TBTN26/CHL770.docx", "https://docs.wto.org/imrd/directdoc.asp?DDFDocuments/v/G/TBTN26/CHL770.docx")</f>
        <v>https://docs.wto.org/imrd/directdoc.asp?DDFDocuments/v/G/TBTN26/CHL770.docx</v>
      </c>
      <c r="U1453" t="s">
        <v>64</v>
      </c>
      <c r="V1453" t="s">
        <v>46</v>
      </c>
      <c r="W1453" t="s">
        <v>46</v>
      </c>
      <c r="X1453" t="s">
        <v>46</v>
      </c>
      <c r="Y1453" t="s">
        <v>46</v>
      </c>
      <c r="Z1453" t="s">
        <v>46</v>
      </c>
      <c r="AA1453" t="s">
        <v>46</v>
      </c>
      <c r="AB1453" s="2" t="s">
        <v>5489</v>
      </c>
      <c r="AC1453" t="s">
        <v>43</v>
      </c>
      <c r="AD1453" t="s">
        <v>43</v>
      </c>
      <c r="AE1453" t="s">
        <v>43</v>
      </c>
      <c r="AF1453" t="s">
        <v>43</v>
      </c>
      <c r="AG1453" t="s">
        <v>43</v>
      </c>
      <c r="AH1453" s="2" t="s">
        <v>43</v>
      </c>
    </row>
    <row r="1454" spans="1:34" ht="409.5">
      <c r="A1454" s="6" t="s">
        <v>209</v>
      </c>
      <c r="B1454" s="7">
        <v>46027</v>
      </c>
      <c r="C1454" s="9" t="str">
        <f>HYPERLINK("https://eping.wto.org/en/Search?viewData= G/SPS/N/RUS/345"," G/SPS/N/RUS/345")</f>
        <v xml:space="preserve"> G/SPS/N/RUS/345</v>
      </c>
      <c r="D1454" s="8" t="s">
        <v>5632</v>
      </c>
      <c r="E1454" s="8" t="s">
        <v>5633</v>
      </c>
      <c r="F1454" s="8" t="s">
        <v>5634</v>
      </c>
      <c r="G1454" s="8" t="s">
        <v>5635</v>
      </c>
      <c r="H1454" s="8" t="s">
        <v>43</v>
      </c>
      <c r="I1454" s="8" t="s">
        <v>104</v>
      </c>
      <c r="J1454" s="8" t="s">
        <v>43</v>
      </c>
      <c r="K1454" s="8" t="s">
        <v>5636</v>
      </c>
      <c r="L1454" s="6" t="s">
        <v>756</v>
      </c>
      <c r="M1454" s="7" t="s">
        <v>43</v>
      </c>
      <c r="N1454" s="7"/>
      <c r="O1454" s="7">
        <v>46013</v>
      </c>
      <c r="P1454" s="6" t="s">
        <v>107</v>
      </c>
      <c r="Q1454" s="8" t="s">
        <v>5637</v>
      </c>
      <c r="R1454" t="str">
        <f>HYPERLINK("https://docs.wto.org/imrd/directdoc.asp?DDFDocuments/t/G/SPS/NRUS345.docx", "https://docs.wto.org/imrd/directdoc.asp?DDFDocuments/t/G/SPS/NRUS345.docx")</f>
        <v>https://docs.wto.org/imrd/directdoc.asp?DDFDocuments/t/G/SPS/NRUS345.docx</v>
      </c>
      <c r="S1454" t="str">
        <f>HYPERLINK("https://docs.wto.org/imrd/directdoc.asp?DDFDocuments/u/G/SPS/NRUS345.docx", "https://docs.wto.org/imrd/directdoc.asp?DDFDocuments/u/G/SPS/NRUS345.docx")</f>
        <v>https://docs.wto.org/imrd/directdoc.asp?DDFDocuments/u/G/SPS/NRUS345.docx</v>
      </c>
      <c r="T1454" t="str">
        <f>HYPERLINK("https://docs.wto.org/imrd/directdoc.asp?DDFDocuments/v/G/SPS/NRUS345.docx", "https://docs.wto.org/imrd/directdoc.asp?DDFDocuments/v/G/SPS/NRUS345.docx")</f>
        <v>https://docs.wto.org/imrd/directdoc.asp?DDFDocuments/v/G/SPS/NRUS345.docx</v>
      </c>
      <c r="U1454" t="s">
        <v>43</v>
      </c>
      <c r="V1454" t="s">
        <v>43</v>
      </c>
      <c r="W1454" t="s">
        <v>43</v>
      </c>
      <c r="X1454" t="s">
        <v>43</v>
      </c>
      <c r="Y1454" t="s">
        <v>43</v>
      </c>
      <c r="Z1454" t="s">
        <v>43</v>
      </c>
      <c r="AA1454" t="s">
        <v>43</v>
      </c>
      <c r="AB1454" s="2" t="s">
        <v>43</v>
      </c>
      <c r="AC1454" t="s">
        <v>46</v>
      </c>
      <c r="AD1454" t="s">
        <v>64</v>
      </c>
      <c r="AE1454" t="s">
        <v>46</v>
      </c>
      <c r="AF1454" t="s">
        <v>46</v>
      </c>
      <c r="AG1454" t="s">
        <v>64</v>
      </c>
      <c r="AH1454" s="2" t="s">
        <v>43</v>
      </c>
    </row>
    <row r="1455" spans="1:34" ht="345">
      <c r="A1455" s="6" t="s">
        <v>122</v>
      </c>
      <c r="B1455" s="7">
        <v>46027</v>
      </c>
      <c r="C1455" s="9" t="str">
        <f>HYPERLINK("https://eping.wto.org/en/Search?viewData= G/TBT/N/TUR/231"," G/TBT/N/TUR/231")</f>
        <v xml:space="preserve"> G/TBT/N/TUR/231</v>
      </c>
      <c r="D1455" s="8" t="s">
        <v>5638</v>
      </c>
      <c r="E1455" s="8" t="s">
        <v>5639</v>
      </c>
      <c r="F1455" s="8" t="s">
        <v>5640</v>
      </c>
      <c r="G1455" s="8" t="s">
        <v>43</v>
      </c>
      <c r="H1455" s="8" t="s">
        <v>5641</v>
      </c>
      <c r="I1455" s="8" t="s">
        <v>5642</v>
      </c>
      <c r="J1455" s="8" t="s">
        <v>5643</v>
      </c>
      <c r="K1455" s="8" t="s">
        <v>43</v>
      </c>
      <c r="L1455" s="6"/>
      <c r="M1455" s="7">
        <v>46087</v>
      </c>
      <c r="N1455" s="7" t="s">
        <v>4178</v>
      </c>
      <c r="O1455" s="7" t="s">
        <v>5644</v>
      </c>
      <c r="P1455" s="6" t="s">
        <v>62</v>
      </c>
      <c r="Q1455" s="8" t="s">
        <v>5645</v>
      </c>
      <c r="R1455" t="str">
        <f>HYPERLINK("https://docs.wto.org/imrd/directdoc.asp?DDFDocuments/t/G/TBTN26/TUR231.docx", "https://docs.wto.org/imrd/directdoc.asp?DDFDocuments/t/G/TBTN26/TUR231.docx")</f>
        <v>https://docs.wto.org/imrd/directdoc.asp?DDFDocuments/t/G/TBTN26/TUR231.docx</v>
      </c>
      <c r="S1455" t="str">
        <f>HYPERLINK("https://docs.wto.org/imrd/directdoc.asp?DDFDocuments/u/G/TBTN26/TUR231.docx", "https://docs.wto.org/imrd/directdoc.asp?DDFDocuments/u/G/TBTN26/TUR231.docx")</f>
        <v>https://docs.wto.org/imrd/directdoc.asp?DDFDocuments/u/G/TBTN26/TUR231.docx</v>
      </c>
      <c r="T1455" t="str">
        <f>HYPERLINK("https://docs.wto.org/imrd/directdoc.asp?DDFDocuments/v/G/TBTN26/TUR231.docx", "https://docs.wto.org/imrd/directdoc.asp?DDFDocuments/v/G/TBTN26/TUR231.docx")</f>
        <v>https://docs.wto.org/imrd/directdoc.asp?DDFDocuments/v/G/TBTN26/TUR231.docx</v>
      </c>
      <c r="U1455" t="s">
        <v>64</v>
      </c>
      <c r="V1455" t="s">
        <v>46</v>
      </c>
      <c r="W1455" t="s">
        <v>46</v>
      </c>
      <c r="X1455" t="s">
        <v>46</v>
      </c>
      <c r="Y1455" t="s">
        <v>46</v>
      </c>
      <c r="Z1455" t="s">
        <v>46</v>
      </c>
      <c r="AA1455" t="s">
        <v>46</v>
      </c>
      <c r="AB1455" s="2" t="s">
        <v>5646</v>
      </c>
      <c r="AC1455" t="s">
        <v>43</v>
      </c>
      <c r="AD1455" t="s">
        <v>43</v>
      </c>
      <c r="AE1455" t="s">
        <v>43</v>
      </c>
      <c r="AF1455" t="s">
        <v>43</v>
      </c>
      <c r="AG1455" t="s">
        <v>43</v>
      </c>
      <c r="AH1455" s="2" t="s">
        <v>43</v>
      </c>
    </row>
    <row r="1456" spans="1:34" ht="135">
      <c r="A1456" s="6" t="s">
        <v>338</v>
      </c>
      <c r="B1456" s="7">
        <v>46027</v>
      </c>
      <c r="C1456" s="9" t="str">
        <f>HYPERLINK("https://eping.wto.org/en/Search?viewData= G/SPS/N/SAU/609"," G/SPS/N/SAU/609")</f>
        <v xml:space="preserve"> G/SPS/N/SAU/609</v>
      </c>
      <c r="D1456" s="8" t="s">
        <v>5647</v>
      </c>
      <c r="E1456" s="8" t="s">
        <v>5648</v>
      </c>
      <c r="F1456" s="8" t="s">
        <v>1682</v>
      </c>
      <c r="G1456" s="8" t="s">
        <v>5649</v>
      </c>
      <c r="H1456" s="8" t="s">
        <v>43</v>
      </c>
      <c r="I1456" s="8" t="s">
        <v>361</v>
      </c>
      <c r="J1456" s="8" t="s">
        <v>43</v>
      </c>
      <c r="K1456" s="8" t="s">
        <v>5650</v>
      </c>
      <c r="L1456" s="6" t="s">
        <v>1684</v>
      </c>
      <c r="M1456" s="7" t="s">
        <v>43</v>
      </c>
      <c r="N1456" s="7"/>
      <c r="O1456" s="7">
        <v>46015</v>
      </c>
      <c r="P1456" s="6" t="s">
        <v>107</v>
      </c>
      <c r="Q1456" s="8" t="s">
        <v>5651</v>
      </c>
      <c r="R1456" t="str">
        <f>HYPERLINK("https://docs.wto.org/imrd/directdoc.asp?DDFDocuments/t/G/SPS/NSAU609.docx", "https://docs.wto.org/imrd/directdoc.asp?DDFDocuments/t/G/SPS/NSAU609.docx")</f>
        <v>https://docs.wto.org/imrd/directdoc.asp?DDFDocuments/t/G/SPS/NSAU609.docx</v>
      </c>
      <c r="S1456" t="str">
        <f>HYPERLINK("https://docs.wto.org/imrd/directdoc.asp?DDFDocuments/u/G/SPS/NSAU609.docx", "https://docs.wto.org/imrd/directdoc.asp?DDFDocuments/u/G/SPS/NSAU609.docx")</f>
        <v>https://docs.wto.org/imrd/directdoc.asp?DDFDocuments/u/G/SPS/NSAU609.docx</v>
      </c>
      <c r="T1456" t="str">
        <f>HYPERLINK("https://docs.wto.org/imrd/directdoc.asp?DDFDocuments/v/G/SPS/NSAU609.docx", "https://docs.wto.org/imrd/directdoc.asp?DDFDocuments/v/G/SPS/NSAU609.docx")</f>
        <v>https://docs.wto.org/imrd/directdoc.asp?DDFDocuments/v/G/SPS/NSAU609.docx</v>
      </c>
      <c r="U1456" t="s">
        <v>43</v>
      </c>
      <c r="V1456" t="s">
        <v>43</v>
      </c>
      <c r="W1456" t="s">
        <v>43</v>
      </c>
      <c r="X1456" t="s">
        <v>43</v>
      </c>
      <c r="Y1456" t="s">
        <v>43</v>
      </c>
      <c r="Z1456" t="s">
        <v>43</v>
      </c>
      <c r="AA1456" t="s">
        <v>43</v>
      </c>
      <c r="AB1456" s="2" t="s">
        <v>43</v>
      </c>
      <c r="AC1456" t="s">
        <v>46</v>
      </c>
      <c r="AD1456" t="s">
        <v>64</v>
      </c>
      <c r="AE1456" t="s">
        <v>46</v>
      </c>
      <c r="AF1456" t="s">
        <v>46</v>
      </c>
      <c r="AG1456" t="s">
        <v>64</v>
      </c>
      <c r="AH1456" s="2" t="s">
        <v>43</v>
      </c>
    </row>
    <row r="1457" spans="1:34" ht="75">
      <c r="A1457" s="6" t="s">
        <v>146</v>
      </c>
      <c r="B1457" s="7">
        <v>46027</v>
      </c>
      <c r="C1457" s="9" t="str">
        <f>HYPERLINK("https://eping.wto.org/en/Search?viewData= G/TBT/N/CHL/761/Add.2"," G/TBT/N/CHL/761/Add.2")</f>
        <v xml:space="preserve"> G/TBT/N/CHL/761/Add.2</v>
      </c>
      <c r="D1457" s="8" t="s">
        <v>5652</v>
      </c>
      <c r="E1457" s="8" t="s">
        <v>5653</v>
      </c>
      <c r="F1457" s="8" t="s">
        <v>5654</v>
      </c>
      <c r="G1457" s="8" t="s">
        <v>43</v>
      </c>
      <c r="H1457" s="8" t="s">
        <v>294</v>
      </c>
      <c r="I1457" s="8" t="s">
        <v>129</v>
      </c>
      <c r="J1457" s="8" t="s">
        <v>43</v>
      </c>
      <c r="K1457" s="8" t="s">
        <v>43</v>
      </c>
      <c r="L1457" s="6"/>
      <c r="M1457" s="7" t="s">
        <v>43</v>
      </c>
      <c r="N1457" s="7"/>
      <c r="O1457" s="7"/>
      <c r="P1457" s="6" t="s">
        <v>44</v>
      </c>
      <c r="Q1457" s="8" t="s">
        <v>5655</v>
      </c>
      <c r="R1457" t="str">
        <f>HYPERLINK("https://docs.wto.org/imrd/directdoc.asp?DDFDocuments/t/G/TBTN25/CHL761A2.docx", "https://docs.wto.org/imrd/directdoc.asp?DDFDocuments/t/G/TBTN25/CHL761A2.docx")</f>
        <v>https://docs.wto.org/imrd/directdoc.asp?DDFDocuments/t/G/TBTN25/CHL761A2.docx</v>
      </c>
      <c r="S1457" t="str">
        <f>HYPERLINK("https://docs.wto.org/imrd/directdoc.asp?DDFDocuments/u/G/TBTN25/CHL761A2.docx", "https://docs.wto.org/imrd/directdoc.asp?DDFDocuments/u/G/TBTN25/CHL761A2.docx")</f>
        <v>https://docs.wto.org/imrd/directdoc.asp?DDFDocuments/u/G/TBTN25/CHL761A2.docx</v>
      </c>
      <c r="T1457" t="str">
        <f>HYPERLINK("https://docs.wto.org/imrd/directdoc.asp?DDFDocuments/v/G/TBTN25/CHL761A2.docx", "https://docs.wto.org/imrd/directdoc.asp?DDFDocuments/v/G/TBTN25/CHL761A2.docx")</f>
        <v>https://docs.wto.org/imrd/directdoc.asp?DDFDocuments/v/G/TBTN25/CHL761A2.docx</v>
      </c>
      <c r="U1457" t="s">
        <v>46</v>
      </c>
      <c r="V1457" t="s">
        <v>46</v>
      </c>
      <c r="W1457" t="s">
        <v>46</v>
      </c>
      <c r="X1457" t="s">
        <v>46</v>
      </c>
      <c r="Y1457" t="s">
        <v>46</v>
      </c>
      <c r="Z1457" t="s">
        <v>46</v>
      </c>
      <c r="AA1457" t="s">
        <v>46</v>
      </c>
      <c r="AB1457" s="2" t="s">
        <v>43</v>
      </c>
      <c r="AC1457" t="s">
        <v>43</v>
      </c>
      <c r="AD1457" t="s">
        <v>43</v>
      </c>
      <c r="AE1457" t="s">
        <v>43</v>
      </c>
      <c r="AF1457" t="s">
        <v>43</v>
      </c>
      <c r="AG1457" t="s">
        <v>43</v>
      </c>
      <c r="AH1457" s="2" t="s">
        <v>43</v>
      </c>
    </row>
    <row r="1458" spans="1:34" ht="105">
      <c r="A1458" s="6" t="s">
        <v>303</v>
      </c>
      <c r="B1458" s="7">
        <v>46027</v>
      </c>
      <c r="C1458" s="9" t="str">
        <f>HYPERLINK("https://eping.wto.org/en/Search?viewData= G/TBT/N/KOR/1336"," G/TBT/N/KOR/1336")</f>
        <v xml:space="preserve"> G/TBT/N/KOR/1336</v>
      </c>
      <c r="D1458" s="8" t="s">
        <v>5656</v>
      </c>
      <c r="E1458" s="8" t="s">
        <v>5657</v>
      </c>
      <c r="F1458" s="8" t="s">
        <v>5658</v>
      </c>
      <c r="G1458" s="8" t="s">
        <v>43</v>
      </c>
      <c r="H1458" s="8" t="s">
        <v>738</v>
      </c>
      <c r="I1458" s="8" t="s">
        <v>1246</v>
      </c>
      <c r="J1458" s="8" t="s">
        <v>43</v>
      </c>
      <c r="K1458" s="8" t="s">
        <v>670</v>
      </c>
      <c r="L1458" s="6"/>
      <c r="M1458" s="7">
        <v>46087</v>
      </c>
      <c r="N1458" s="7" t="s">
        <v>79</v>
      </c>
      <c r="O1458" s="7" t="s">
        <v>79</v>
      </c>
      <c r="P1458" s="6" t="s">
        <v>62</v>
      </c>
      <c r="Q1458" s="8" t="s">
        <v>5659</v>
      </c>
      <c r="R1458" t="str">
        <f>HYPERLINK("https://docs.wto.org/imrd/directdoc.asp?DDFDocuments/t/G/TBTN26/KOR1336.docx", "https://docs.wto.org/imrd/directdoc.asp?DDFDocuments/t/G/TBTN26/KOR1336.docx")</f>
        <v>https://docs.wto.org/imrd/directdoc.asp?DDFDocuments/t/G/TBTN26/KOR1336.docx</v>
      </c>
      <c r="S1458" t="str">
        <f>HYPERLINK("https://docs.wto.org/imrd/directdoc.asp?DDFDocuments/u/G/TBTN26/KOR1336.docx", "https://docs.wto.org/imrd/directdoc.asp?DDFDocuments/u/G/TBTN26/KOR1336.docx")</f>
        <v>https://docs.wto.org/imrd/directdoc.asp?DDFDocuments/u/G/TBTN26/KOR1336.docx</v>
      </c>
      <c r="T1458" t="str">
        <f>HYPERLINK("https://docs.wto.org/imrd/directdoc.asp?DDFDocuments/v/G/TBTN26/KOR1336.docx", "https://docs.wto.org/imrd/directdoc.asp?DDFDocuments/v/G/TBTN26/KOR1336.docx")</f>
        <v>https://docs.wto.org/imrd/directdoc.asp?DDFDocuments/v/G/TBTN26/KOR1336.docx</v>
      </c>
      <c r="U1458" t="s">
        <v>64</v>
      </c>
      <c r="V1458" t="s">
        <v>46</v>
      </c>
      <c r="W1458" t="s">
        <v>46</v>
      </c>
      <c r="X1458" t="s">
        <v>46</v>
      </c>
      <c r="Y1458" t="s">
        <v>46</v>
      </c>
      <c r="Z1458" t="s">
        <v>46</v>
      </c>
      <c r="AA1458" t="s">
        <v>46</v>
      </c>
      <c r="AB1458" s="2" t="s">
        <v>5660</v>
      </c>
      <c r="AC1458" t="s">
        <v>43</v>
      </c>
      <c r="AD1458" t="s">
        <v>43</v>
      </c>
      <c r="AE1458" t="s">
        <v>43</v>
      </c>
      <c r="AF1458" t="s">
        <v>43</v>
      </c>
      <c r="AG1458" t="s">
        <v>43</v>
      </c>
      <c r="AH1458" s="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Notifications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THANH</cp:lastModifiedBy>
  <dcterms:modified xsi:type="dcterms:W3CDTF">2026-03-26T02:31:59Z</dcterms:modified>
</cp:coreProperties>
</file>